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workbookProtection workbookPassword="CA39" lockStructure="1"/>
  <bookViews>
    <workbookView xWindow="4920" yWindow="135" windowWidth="23205" windowHeight="12855" activeTab="3"/>
  </bookViews>
  <sheets>
    <sheet name="Assumptions" sheetId="3" r:id="rId1"/>
    <sheet name="Subsidy Analysis" sheetId="1" r:id="rId2"/>
    <sheet name="Development Analysis" sheetId="4" r:id="rId3"/>
    <sheet name="Recap" sheetId="5" r:id="rId4"/>
  </sheets>
  <definedNames>
    <definedName name="_xlnm.Print_Area" localSheetId="0">Assumptions!$A$1:$K$56</definedName>
    <definedName name="_xlnm.Print_Area" localSheetId="3">Recap!$B$1:$K$40</definedName>
  </definedNames>
  <calcPr calcId="145621"/>
</workbook>
</file>

<file path=xl/calcChain.xml><?xml version="1.0" encoding="utf-8"?>
<calcChain xmlns="http://schemas.openxmlformats.org/spreadsheetml/2006/main">
  <c r="I49" i="3" l="1"/>
  <c r="J49" i="3" s="1"/>
  <c r="J48" i="3"/>
  <c r="I48" i="3"/>
  <c r="I47" i="3"/>
  <c r="J47" i="3" s="1"/>
  <c r="J46" i="3"/>
  <c r="I46" i="3"/>
  <c r="I51" i="3" s="1"/>
  <c r="J41" i="3"/>
  <c r="I41" i="3"/>
  <c r="I40" i="3"/>
  <c r="J40" i="3" s="1"/>
  <c r="J39" i="3"/>
  <c r="I39" i="3"/>
  <c r="I38" i="3"/>
  <c r="J38" i="3" s="1"/>
  <c r="J43" i="3" s="1"/>
  <c r="J51" i="3" l="1"/>
  <c r="I43" i="3"/>
  <c r="C73" i="1" l="1"/>
  <c r="C61" i="1"/>
  <c r="C37" i="1"/>
  <c r="C49" i="1"/>
  <c r="O13" i="1"/>
  <c r="O14" i="1"/>
  <c r="L13" i="1"/>
  <c r="I13" i="1"/>
  <c r="F13" i="1"/>
  <c r="C13" i="1"/>
  <c r="N61" i="5"/>
  <c r="M61" i="5"/>
  <c r="L61" i="5"/>
  <c r="K61" i="5"/>
  <c r="H9" i="3"/>
  <c r="I9" i="3"/>
  <c r="J9" i="3"/>
  <c r="K9" i="3"/>
  <c r="G9" i="3"/>
  <c r="D10" i="3" l="1"/>
  <c r="D12" i="3"/>
  <c r="I18" i="3" l="1"/>
  <c r="B63" i="3" l="1"/>
  <c r="B62" i="3"/>
  <c r="B61" i="3"/>
  <c r="E63" i="3"/>
  <c r="E62" i="3"/>
  <c r="E61" i="3"/>
  <c r="B64" i="3"/>
  <c r="G27" i="3"/>
  <c r="C172" i="1" s="1"/>
  <c r="G28" i="3"/>
  <c r="F181" i="1" s="1"/>
  <c r="G29" i="3"/>
  <c r="I181" i="1" s="1"/>
  <c r="E64" i="3"/>
  <c r="G30" i="3"/>
  <c r="L181" i="1" s="1"/>
  <c r="G31" i="3"/>
  <c r="O181" i="1" s="1"/>
  <c r="D27" i="3"/>
  <c r="C142" i="1" s="1"/>
  <c r="D28" i="3"/>
  <c r="F160" i="1" s="1"/>
  <c r="H160" i="1" s="1"/>
  <c r="D29" i="3"/>
  <c r="D30" i="3"/>
  <c r="L142" i="1" s="1"/>
  <c r="D31" i="3"/>
  <c r="O151" i="1" s="1"/>
  <c r="I21" i="3"/>
  <c r="I20" i="3"/>
  <c r="I19" i="3"/>
  <c r="H18" i="3"/>
  <c r="H19" i="3"/>
  <c r="H20" i="3"/>
  <c r="H21" i="3"/>
  <c r="H22" i="3"/>
  <c r="K18" i="3"/>
  <c r="K19" i="3"/>
  <c r="N4" i="3"/>
  <c r="M4" i="3"/>
  <c r="N9" i="3"/>
  <c r="Q10" i="3"/>
  <c r="P10" i="3"/>
  <c r="Q9" i="3"/>
  <c r="P9" i="3"/>
  <c r="Q8" i="3"/>
  <c r="P8" i="3"/>
  <c r="Q7" i="3"/>
  <c r="P7" i="3"/>
  <c r="Q6" i="3"/>
  <c r="P6" i="3"/>
  <c r="Q5" i="3"/>
  <c r="P5" i="3"/>
  <c r="Q4" i="3"/>
  <c r="P4" i="3"/>
  <c r="O10" i="3"/>
  <c r="N10" i="3"/>
  <c r="M10" i="3"/>
  <c r="O9" i="3"/>
  <c r="M9" i="3"/>
  <c r="O8" i="3"/>
  <c r="N8" i="3"/>
  <c r="M8" i="3"/>
  <c r="O7" i="3"/>
  <c r="N7" i="3"/>
  <c r="M7" i="3"/>
  <c r="O6" i="3"/>
  <c r="N6" i="3"/>
  <c r="M6" i="3"/>
  <c r="O5" i="3"/>
  <c r="N5" i="3"/>
  <c r="M5" i="3"/>
  <c r="O4" i="3"/>
  <c r="K21" i="3"/>
  <c r="K20" i="3"/>
  <c r="F46" i="3"/>
  <c r="G12" i="5" s="1"/>
  <c r="E46" i="3"/>
  <c r="F12" i="5" s="1"/>
  <c r="D46" i="3"/>
  <c r="E12" i="5" s="1"/>
  <c r="G53" i="4"/>
  <c r="I4" i="4"/>
  <c r="G52" i="4"/>
  <c r="I52" i="4" s="1"/>
  <c r="G87" i="4"/>
  <c r="G88" i="4"/>
  <c r="G89" i="4"/>
  <c r="G90" i="4"/>
  <c r="G91" i="4"/>
  <c r="G92" i="4"/>
  <c r="G93" i="4"/>
  <c r="G94" i="4"/>
  <c r="G5" i="4"/>
  <c r="G6" i="4"/>
  <c r="G7" i="4"/>
  <c r="G8" i="4"/>
  <c r="G9" i="4"/>
  <c r="G10" i="4"/>
  <c r="G11" i="4"/>
  <c r="G12" i="4"/>
  <c r="G46" i="4"/>
  <c r="I46" i="4" s="1"/>
  <c r="G47" i="4"/>
  <c r="G48" i="4"/>
  <c r="G49" i="4"/>
  <c r="G50" i="4"/>
  <c r="G51" i="4"/>
  <c r="U110" i="4"/>
  <c r="U109" i="4"/>
  <c r="U108" i="4"/>
  <c r="U98" i="4"/>
  <c r="U97" i="4"/>
  <c r="U96" i="4"/>
  <c r="U85" i="4"/>
  <c r="U84" i="4"/>
  <c r="U83" i="4"/>
  <c r="U82" i="4"/>
  <c r="U81" i="4"/>
  <c r="U80" i="4"/>
  <c r="U79" i="4"/>
  <c r="U69" i="4"/>
  <c r="U68" i="4"/>
  <c r="U67" i="4"/>
  <c r="U57" i="4"/>
  <c r="U56" i="4"/>
  <c r="U55" i="4"/>
  <c r="U44" i="4"/>
  <c r="U43" i="4"/>
  <c r="U42" i="4"/>
  <c r="U41" i="4"/>
  <c r="U40" i="4"/>
  <c r="U39" i="4"/>
  <c r="U38" i="4"/>
  <c r="U28" i="4"/>
  <c r="U27" i="4"/>
  <c r="U26" i="4"/>
  <c r="U16" i="4"/>
  <c r="U15" i="4"/>
  <c r="U14" i="4"/>
  <c r="I45" i="4"/>
  <c r="I86" i="4"/>
  <c r="L4" i="4"/>
  <c r="L86" i="4"/>
  <c r="O86" i="4"/>
  <c r="R86" i="4"/>
  <c r="L45" i="4"/>
  <c r="O45" i="4"/>
  <c r="R45" i="4"/>
  <c r="O4" i="4"/>
  <c r="R4" i="4"/>
  <c r="M83" i="4"/>
  <c r="M42" i="4"/>
  <c r="M1" i="4"/>
  <c r="E5" i="5"/>
  <c r="G83" i="5"/>
  <c r="F83" i="5"/>
  <c r="G16" i="5"/>
  <c r="F16" i="5"/>
  <c r="E16" i="5"/>
  <c r="E11" i="5"/>
  <c r="E10" i="5"/>
  <c r="E9" i="5"/>
  <c r="E8" i="5"/>
  <c r="E7" i="5"/>
  <c r="E6" i="5"/>
  <c r="E4" i="5"/>
  <c r="D4" i="5"/>
  <c r="D5" i="5"/>
  <c r="D6" i="5"/>
  <c r="D7" i="5"/>
  <c r="D8" i="5"/>
  <c r="D9" i="5"/>
  <c r="D10" i="5"/>
  <c r="D11" i="5"/>
  <c r="D12" i="5"/>
  <c r="D15" i="5"/>
  <c r="D17" i="5"/>
  <c r="D18" i="5"/>
  <c r="D19" i="5"/>
  <c r="D20" i="5"/>
  <c r="E18" i="5"/>
  <c r="F18" i="5"/>
  <c r="G18" i="5"/>
  <c r="E19" i="5"/>
  <c r="F19" i="5"/>
  <c r="G19" i="5"/>
  <c r="C14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E15" i="5"/>
  <c r="F15" i="5"/>
  <c r="G15" i="5"/>
  <c r="E17" i="5"/>
  <c r="F17" i="5"/>
  <c r="G17" i="5"/>
  <c r="E3" i="5"/>
  <c r="F3" i="5"/>
  <c r="G3" i="5"/>
  <c r="C3" i="5"/>
  <c r="F15" i="1"/>
  <c r="F14" i="1"/>
  <c r="F74" i="1" s="1"/>
  <c r="L160" i="1"/>
  <c r="O15" i="1"/>
  <c r="O75" i="1" s="1"/>
  <c r="L14" i="1"/>
  <c r="L74" i="1" s="1"/>
  <c r="L80" i="1" s="1"/>
  <c r="L15" i="1"/>
  <c r="I14" i="1"/>
  <c r="I15" i="1"/>
  <c r="C14" i="1"/>
  <c r="C15" i="1"/>
  <c r="H41" i="1"/>
  <c r="O8" i="1"/>
  <c r="O68" i="1" s="1"/>
  <c r="O81" i="1" s="1"/>
  <c r="H17" i="1"/>
  <c r="O20" i="1" s="1"/>
  <c r="D29" i="1"/>
  <c r="L8" i="1"/>
  <c r="L68" i="1" s="1"/>
  <c r="L81" i="1" s="1"/>
  <c r="I8" i="1"/>
  <c r="I68" i="1" s="1"/>
  <c r="I81" i="1" s="1"/>
  <c r="F8" i="1"/>
  <c r="C9" i="1"/>
  <c r="C69" i="1" s="1"/>
  <c r="C88" i="1" s="1"/>
  <c r="C8" i="1"/>
  <c r="H118" i="1"/>
  <c r="G118" i="1"/>
  <c r="K118" i="1"/>
  <c r="J118" i="1"/>
  <c r="N118" i="1"/>
  <c r="M118" i="1"/>
  <c r="L9" i="1"/>
  <c r="L10" i="1"/>
  <c r="L70" i="1" s="1"/>
  <c r="L95" i="1" s="1"/>
  <c r="L11" i="1"/>
  <c r="L71" i="1" s="1"/>
  <c r="L102" i="1" s="1"/>
  <c r="L12" i="1"/>
  <c r="L72" i="1" s="1"/>
  <c r="L109" i="1" s="1"/>
  <c r="I9" i="1"/>
  <c r="K9" i="1" s="1"/>
  <c r="K69" i="1" s="1"/>
  <c r="I10" i="1"/>
  <c r="I70" i="1" s="1"/>
  <c r="I95" i="1" s="1"/>
  <c r="K95" i="1" s="1"/>
  <c r="I11" i="1"/>
  <c r="I71" i="1" s="1"/>
  <c r="I102" i="1" s="1"/>
  <c r="K102" i="1" s="1"/>
  <c r="I12" i="1"/>
  <c r="F9" i="1"/>
  <c r="F10" i="1"/>
  <c r="F70" i="1" s="1"/>
  <c r="F95" i="1" s="1"/>
  <c r="F11" i="1"/>
  <c r="F71" i="1" s="1"/>
  <c r="F102" i="1" s="1"/>
  <c r="F12" i="1"/>
  <c r="M9" i="1"/>
  <c r="M10" i="1"/>
  <c r="M11" i="1"/>
  <c r="N11" i="1" s="1"/>
  <c r="N71" i="1" s="1"/>
  <c r="M12" i="1"/>
  <c r="M13" i="1"/>
  <c r="M14" i="1"/>
  <c r="M15" i="1"/>
  <c r="M8" i="1"/>
  <c r="J9" i="1"/>
  <c r="J10" i="1"/>
  <c r="K10" i="1" s="1"/>
  <c r="K70" i="1" s="1"/>
  <c r="J11" i="1"/>
  <c r="K11" i="1" s="1"/>
  <c r="K71" i="1" s="1"/>
  <c r="J12" i="1"/>
  <c r="J13" i="1"/>
  <c r="J14" i="1"/>
  <c r="J15" i="1"/>
  <c r="J8" i="1"/>
  <c r="G9" i="1"/>
  <c r="G10" i="1"/>
  <c r="G11" i="1"/>
  <c r="G12" i="1"/>
  <c r="G13" i="1"/>
  <c r="G14" i="1"/>
  <c r="H14" i="1" s="1"/>
  <c r="H74" i="1" s="1"/>
  <c r="G15" i="1"/>
  <c r="G8" i="1"/>
  <c r="E53" i="1"/>
  <c r="M210" i="1"/>
  <c r="D178" i="1"/>
  <c r="D140" i="1"/>
  <c r="E118" i="1"/>
  <c r="D118" i="1"/>
  <c r="O9" i="1"/>
  <c r="P125" i="1"/>
  <c r="O10" i="1"/>
  <c r="P126" i="1"/>
  <c r="O11" i="1"/>
  <c r="P127" i="1"/>
  <c r="O12" i="1"/>
  <c r="P128" i="1"/>
  <c r="P129" i="1"/>
  <c r="P130" i="1"/>
  <c r="P131" i="1"/>
  <c r="P124" i="1"/>
  <c r="M125" i="1"/>
  <c r="M126" i="1"/>
  <c r="M127" i="1"/>
  <c r="M128" i="1"/>
  <c r="M129" i="1"/>
  <c r="M130" i="1"/>
  <c r="M131" i="1"/>
  <c r="M124" i="1"/>
  <c r="J125" i="1"/>
  <c r="J126" i="1"/>
  <c r="J127" i="1"/>
  <c r="J128" i="1"/>
  <c r="J129" i="1"/>
  <c r="J130" i="1"/>
  <c r="J131" i="1"/>
  <c r="J124" i="1"/>
  <c r="G125" i="1"/>
  <c r="G126" i="1"/>
  <c r="G127" i="1"/>
  <c r="G128" i="1"/>
  <c r="G129" i="1"/>
  <c r="G130" i="1"/>
  <c r="G131" i="1"/>
  <c r="G124" i="1"/>
  <c r="D125" i="1"/>
  <c r="C10" i="1"/>
  <c r="C70" i="1" s="1"/>
  <c r="C95" i="1" s="1"/>
  <c r="D126" i="1"/>
  <c r="C11" i="1"/>
  <c r="C71" i="1" s="1"/>
  <c r="C102" i="1" s="1"/>
  <c r="D127" i="1"/>
  <c r="C12" i="1"/>
  <c r="D128" i="1"/>
  <c r="D129" i="1"/>
  <c r="D130" i="1"/>
  <c r="D131" i="1"/>
  <c r="D124" i="1"/>
  <c r="D8" i="1"/>
  <c r="D160" i="1"/>
  <c r="D161" i="1"/>
  <c r="Q118" i="1"/>
  <c r="P118" i="1"/>
  <c r="D139" i="1"/>
  <c r="D44" i="1"/>
  <c r="P238" i="1"/>
  <c r="P237" i="1"/>
  <c r="Q237" i="1" s="1"/>
  <c r="P236" i="1"/>
  <c r="P235" i="1"/>
  <c r="P234" i="1"/>
  <c r="P232" i="1"/>
  <c r="P227" i="1"/>
  <c r="P226" i="1"/>
  <c r="Q226" i="1"/>
  <c r="P225" i="1"/>
  <c r="P224" i="1"/>
  <c r="P223" i="1"/>
  <c r="P221" i="1"/>
  <c r="P216" i="1"/>
  <c r="P215" i="1"/>
  <c r="Q215" i="1" s="1"/>
  <c r="P214" i="1"/>
  <c r="P213" i="1"/>
  <c r="P212" i="1"/>
  <c r="P210" i="1"/>
  <c r="P205" i="1"/>
  <c r="P204" i="1"/>
  <c r="Q204" i="1" s="1"/>
  <c r="P203" i="1"/>
  <c r="P202" i="1"/>
  <c r="P201" i="1"/>
  <c r="P199" i="1"/>
  <c r="P191" i="1"/>
  <c r="P190" i="1"/>
  <c r="P189" i="1"/>
  <c r="P188" i="1"/>
  <c r="P187" i="1"/>
  <c r="P182" i="1"/>
  <c r="P181" i="1"/>
  <c r="P180" i="1"/>
  <c r="P179" i="1"/>
  <c r="P178" i="1"/>
  <c r="P173" i="1"/>
  <c r="P172" i="1"/>
  <c r="P171" i="1"/>
  <c r="P170" i="1"/>
  <c r="P169" i="1"/>
  <c r="P161" i="1"/>
  <c r="P160" i="1"/>
  <c r="P159" i="1"/>
  <c r="P158" i="1"/>
  <c r="P157" i="1"/>
  <c r="P152" i="1"/>
  <c r="P151" i="1"/>
  <c r="P150" i="1"/>
  <c r="P149" i="1"/>
  <c r="P148" i="1"/>
  <c r="P143" i="1"/>
  <c r="P142" i="1"/>
  <c r="P141" i="1"/>
  <c r="P140" i="1"/>
  <c r="P139" i="1"/>
  <c r="P109" i="1"/>
  <c r="P108" i="1"/>
  <c r="P102" i="1"/>
  <c r="P101" i="1"/>
  <c r="P95" i="1"/>
  <c r="P94" i="1"/>
  <c r="P88" i="1"/>
  <c r="P87" i="1"/>
  <c r="P81" i="1"/>
  <c r="P80" i="1"/>
  <c r="P75" i="1"/>
  <c r="P74" i="1"/>
  <c r="P73" i="1"/>
  <c r="P72" i="1"/>
  <c r="P71" i="1"/>
  <c r="P70" i="1"/>
  <c r="P69" i="1"/>
  <c r="P68" i="1"/>
  <c r="P63" i="1"/>
  <c r="P62" i="1"/>
  <c r="P61" i="1"/>
  <c r="P60" i="1"/>
  <c r="P59" i="1"/>
  <c r="P58" i="1"/>
  <c r="P57" i="1"/>
  <c r="P56" i="1"/>
  <c r="P51" i="1"/>
  <c r="P50" i="1"/>
  <c r="P49" i="1"/>
  <c r="P48" i="1"/>
  <c r="P47" i="1"/>
  <c r="P46" i="1"/>
  <c r="P45" i="1"/>
  <c r="P44" i="1"/>
  <c r="P15" i="1"/>
  <c r="P14" i="1"/>
  <c r="P13" i="1"/>
  <c r="P12" i="1"/>
  <c r="P11" i="1"/>
  <c r="P10" i="1"/>
  <c r="P9" i="1"/>
  <c r="P8" i="1"/>
  <c r="M238" i="1"/>
  <c r="M237" i="1"/>
  <c r="N237" i="1" s="1"/>
  <c r="M236" i="1"/>
  <c r="M235" i="1"/>
  <c r="M234" i="1"/>
  <c r="M232" i="1"/>
  <c r="M227" i="1"/>
  <c r="M226" i="1"/>
  <c r="N226" i="1" s="1"/>
  <c r="M225" i="1"/>
  <c r="M224" i="1"/>
  <c r="M223" i="1"/>
  <c r="M221" i="1"/>
  <c r="M216" i="1"/>
  <c r="M215" i="1"/>
  <c r="N215" i="1" s="1"/>
  <c r="M214" i="1"/>
  <c r="M213" i="1"/>
  <c r="M212" i="1"/>
  <c r="M205" i="1"/>
  <c r="M204" i="1"/>
  <c r="N204" i="1" s="1"/>
  <c r="M203" i="1"/>
  <c r="M202" i="1"/>
  <c r="M201" i="1"/>
  <c r="M199" i="1"/>
  <c r="M191" i="1"/>
  <c r="M190" i="1"/>
  <c r="M189" i="1"/>
  <c r="M188" i="1"/>
  <c r="M187" i="1"/>
  <c r="M182" i="1"/>
  <c r="M181" i="1"/>
  <c r="M180" i="1"/>
  <c r="M179" i="1"/>
  <c r="M178" i="1"/>
  <c r="M173" i="1"/>
  <c r="M172" i="1"/>
  <c r="M171" i="1"/>
  <c r="M170" i="1"/>
  <c r="M169" i="1"/>
  <c r="M161" i="1"/>
  <c r="M160" i="1"/>
  <c r="M159" i="1"/>
  <c r="M158" i="1"/>
  <c r="M157" i="1"/>
  <c r="M152" i="1"/>
  <c r="M151" i="1"/>
  <c r="M150" i="1"/>
  <c r="M149" i="1"/>
  <c r="M148" i="1"/>
  <c r="M143" i="1"/>
  <c r="M142" i="1"/>
  <c r="M141" i="1"/>
  <c r="M140" i="1"/>
  <c r="M139" i="1"/>
  <c r="M109" i="1"/>
  <c r="M108" i="1"/>
  <c r="M102" i="1"/>
  <c r="M101" i="1"/>
  <c r="M95" i="1"/>
  <c r="M94" i="1"/>
  <c r="M88" i="1"/>
  <c r="M87" i="1"/>
  <c r="M81" i="1"/>
  <c r="M80" i="1"/>
  <c r="M75" i="1"/>
  <c r="M74" i="1"/>
  <c r="M73" i="1"/>
  <c r="M72" i="1"/>
  <c r="M71" i="1"/>
  <c r="M70" i="1"/>
  <c r="M69" i="1"/>
  <c r="M68" i="1"/>
  <c r="M63" i="1"/>
  <c r="M62" i="1"/>
  <c r="M61" i="1"/>
  <c r="M60" i="1"/>
  <c r="M59" i="1"/>
  <c r="M58" i="1"/>
  <c r="M57" i="1"/>
  <c r="M56" i="1"/>
  <c r="M51" i="1"/>
  <c r="M50" i="1"/>
  <c r="M49" i="1"/>
  <c r="M48" i="1"/>
  <c r="M47" i="1"/>
  <c r="M46" i="1"/>
  <c r="M45" i="1"/>
  <c r="M44" i="1"/>
  <c r="J238" i="1"/>
  <c r="J237" i="1"/>
  <c r="K237" i="1" s="1"/>
  <c r="J236" i="1"/>
  <c r="J235" i="1"/>
  <c r="J234" i="1"/>
  <c r="J232" i="1"/>
  <c r="J227" i="1"/>
  <c r="J226" i="1"/>
  <c r="K226" i="1" s="1"/>
  <c r="J225" i="1"/>
  <c r="J224" i="1"/>
  <c r="J223" i="1"/>
  <c r="J221" i="1"/>
  <c r="J216" i="1"/>
  <c r="J215" i="1"/>
  <c r="K215" i="1" s="1"/>
  <c r="J214" i="1"/>
  <c r="J213" i="1"/>
  <c r="J212" i="1"/>
  <c r="J210" i="1"/>
  <c r="J205" i="1"/>
  <c r="J204" i="1"/>
  <c r="K204" i="1" s="1"/>
  <c r="J203" i="1"/>
  <c r="J202" i="1"/>
  <c r="J201" i="1"/>
  <c r="J199" i="1"/>
  <c r="J191" i="1"/>
  <c r="J190" i="1"/>
  <c r="J189" i="1"/>
  <c r="J188" i="1"/>
  <c r="J187" i="1"/>
  <c r="J182" i="1"/>
  <c r="J181" i="1"/>
  <c r="J180" i="1"/>
  <c r="J179" i="1"/>
  <c r="J178" i="1"/>
  <c r="J173" i="1"/>
  <c r="J172" i="1"/>
  <c r="J171" i="1"/>
  <c r="J170" i="1"/>
  <c r="J169" i="1"/>
  <c r="J161" i="1"/>
  <c r="J160" i="1"/>
  <c r="J159" i="1"/>
  <c r="J158" i="1"/>
  <c r="J157" i="1"/>
  <c r="J152" i="1"/>
  <c r="J151" i="1"/>
  <c r="J150" i="1"/>
  <c r="J149" i="1"/>
  <c r="J148" i="1"/>
  <c r="J143" i="1"/>
  <c r="J142" i="1"/>
  <c r="J141" i="1"/>
  <c r="J140" i="1"/>
  <c r="J139" i="1"/>
  <c r="J109" i="1"/>
  <c r="J108" i="1"/>
  <c r="J102" i="1"/>
  <c r="J101" i="1"/>
  <c r="J95" i="1"/>
  <c r="J94" i="1"/>
  <c r="J88" i="1"/>
  <c r="J87" i="1"/>
  <c r="J81" i="1"/>
  <c r="J80" i="1"/>
  <c r="J75" i="1"/>
  <c r="J74" i="1"/>
  <c r="J73" i="1"/>
  <c r="J72" i="1"/>
  <c r="J71" i="1"/>
  <c r="J70" i="1"/>
  <c r="J69" i="1"/>
  <c r="J68" i="1"/>
  <c r="J63" i="1"/>
  <c r="J62" i="1"/>
  <c r="J61" i="1"/>
  <c r="J60" i="1"/>
  <c r="J59" i="1"/>
  <c r="J58" i="1"/>
  <c r="J57" i="1"/>
  <c r="J56" i="1"/>
  <c r="J51" i="1"/>
  <c r="J50" i="1"/>
  <c r="J49" i="1"/>
  <c r="J48" i="1"/>
  <c r="J47" i="1"/>
  <c r="J46" i="1"/>
  <c r="J45" i="1"/>
  <c r="J44" i="1"/>
  <c r="G238" i="1"/>
  <c r="G237" i="1"/>
  <c r="H237" i="1" s="1"/>
  <c r="G236" i="1"/>
  <c r="G235" i="1"/>
  <c r="G234" i="1"/>
  <c r="G232" i="1"/>
  <c r="G227" i="1"/>
  <c r="G226" i="1"/>
  <c r="H226" i="1" s="1"/>
  <c r="G225" i="1"/>
  <c r="G224" i="1"/>
  <c r="G223" i="1"/>
  <c r="G221" i="1"/>
  <c r="G216" i="1"/>
  <c r="G215" i="1"/>
  <c r="H215" i="1" s="1"/>
  <c r="G214" i="1"/>
  <c r="G213" i="1"/>
  <c r="G212" i="1"/>
  <c r="G210" i="1"/>
  <c r="G205" i="1"/>
  <c r="G204" i="1"/>
  <c r="H204" i="1" s="1"/>
  <c r="G203" i="1"/>
  <c r="G202" i="1"/>
  <c r="G201" i="1"/>
  <c r="G199" i="1"/>
  <c r="G191" i="1"/>
  <c r="G190" i="1"/>
  <c r="G189" i="1"/>
  <c r="G188" i="1"/>
  <c r="G187" i="1"/>
  <c r="G182" i="1"/>
  <c r="G181" i="1"/>
  <c r="G180" i="1"/>
  <c r="G179" i="1"/>
  <c r="G178" i="1"/>
  <c r="G173" i="1"/>
  <c r="G172" i="1"/>
  <c r="G171" i="1"/>
  <c r="G170" i="1"/>
  <c r="G169" i="1"/>
  <c r="G161" i="1"/>
  <c r="G160" i="1"/>
  <c r="G159" i="1"/>
  <c r="G158" i="1"/>
  <c r="G157" i="1"/>
  <c r="G152" i="1"/>
  <c r="G151" i="1"/>
  <c r="G150" i="1"/>
  <c r="G149" i="1"/>
  <c r="G148" i="1"/>
  <c r="G143" i="1"/>
  <c r="G142" i="1"/>
  <c r="G141" i="1"/>
  <c r="G140" i="1"/>
  <c r="G139" i="1"/>
  <c r="G109" i="1"/>
  <c r="G108" i="1"/>
  <c r="G102" i="1"/>
  <c r="G101" i="1"/>
  <c r="G95" i="1"/>
  <c r="G94" i="1"/>
  <c r="G88" i="1"/>
  <c r="G87" i="1"/>
  <c r="G81" i="1"/>
  <c r="G80" i="1"/>
  <c r="G75" i="1"/>
  <c r="G74" i="1"/>
  <c r="G73" i="1"/>
  <c r="G72" i="1"/>
  <c r="G71" i="1"/>
  <c r="G70" i="1"/>
  <c r="G69" i="1"/>
  <c r="G68" i="1"/>
  <c r="G63" i="1"/>
  <c r="G62" i="1"/>
  <c r="G61" i="1"/>
  <c r="G60" i="1"/>
  <c r="G59" i="1"/>
  <c r="G58" i="1"/>
  <c r="G57" i="1"/>
  <c r="G56" i="1"/>
  <c r="G51" i="1"/>
  <c r="G50" i="1"/>
  <c r="G49" i="1"/>
  <c r="G48" i="1"/>
  <c r="G47" i="1"/>
  <c r="G46" i="1"/>
  <c r="G45" i="1"/>
  <c r="G44" i="1"/>
  <c r="D238" i="1"/>
  <c r="D237" i="1"/>
  <c r="E237" i="1" s="1"/>
  <c r="D236" i="1"/>
  <c r="D235" i="1"/>
  <c r="D234" i="1"/>
  <c r="D232" i="1"/>
  <c r="D227" i="1"/>
  <c r="D226" i="1"/>
  <c r="E226" i="1" s="1"/>
  <c r="D225" i="1"/>
  <c r="D224" i="1"/>
  <c r="D223" i="1"/>
  <c r="D221" i="1"/>
  <c r="D216" i="1"/>
  <c r="D215" i="1"/>
  <c r="E215" i="1" s="1"/>
  <c r="D214" i="1"/>
  <c r="D213" i="1"/>
  <c r="D212" i="1"/>
  <c r="D210" i="1"/>
  <c r="D205" i="1"/>
  <c r="D204" i="1"/>
  <c r="E204" i="1" s="1"/>
  <c r="D203" i="1"/>
  <c r="D202" i="1"/>
  <c r="D201" i="1"/>
  <c r="D199" i="1"/>
  <c r="D191" i="1"/>
  <c r="D190" i="1"/>
  <c r="D189" i="1"/>
  <c r="D188" i="1"/>
  <c r="D187" i="1"/>
  <c r="D182" i="1"/>
  <c r="D181" i="1"/>
  <c r="D180" i="1"/>
  <c r="D179" i="1"/>
  <c r="D173" i="1"/>
  <c r="D172" i="1"/>
  <c r="D171" i="1"/>
  <c r="D170" i="1"/>
  <c r="D169" i="1"/>
  <c r="D159" i="1"/>
  <c r="D158" i="1"/>
  <c r="D157" i="1"/>
  <c r="D152" i="1"/>
  <c r="D151" i="1"/>
  <c r="D150" i="1"/>
  <c r="D149" i="1"/>
  <c r="D148" i="1"/>
  <c r="D143" i="1"/>
  <c r="D142" i="1"/>
  <c r="D141" i="1"/>
  <c r="D109" i="1"/>
  <c r="D108" i="1"/>
  <c r="D102" i="1"/>
  <c r="D101" i="1"/>
  <c r="D95" i="1"/>
  <c r="D94" i="1"/>
  <c r="D88" i="1"/>
  <c r="D87" i="1"/>
  <c r="D81" i="1"/>
  <c r="D80" i="1"/>
  <c r="D75" i="1"/>
  <c r="D74" i="1"/>
  <c r="D73" i="1"/>
  <c r="D72" i="1"/>
  <c r="D71" i="1"/>
  <c r="D70" i="1"/>
  <c r="D69" i="1"/>
  <c r="D68" i="1"/>
  <c r="D63" i="1"/>
  <c r="D62" i="1"/>
  <c r="D61" i="1"/>
  <c r="D60" i="1"/>
  <c r="D59" i="1"/>
  <c r="D58" i="1"/>
  <c r="D57" i="1"/>
  <c r="D56" i="1"/>
  <c r="D51" i="1"/>
  <c r="D50" i="1"/>
  <c r="D49" i="1"/>
  <c r="D48" i="1"/>
  <c r="D47" i="1"/>
  <c r="D46" i="1"/>
  <c r="D45" i="1"/>
  <c r="D15" i="1"/>
  <c r="D14" i="1"/>
  <c r="D13" i="1"/>
  <c r="D12" i="1"/>
  <c r="D11" i="1"/>
  <c r="D10" i="1"/>
  <c r="D9" i="1"/>
  <c r="O72" i="1"/>
  <c r="O109" i="1" s="1"/>
  <c r="Q109" i="1" s="1"/>
  <c r="O69" i="1"/>
  <c r="O88" i="1" s="1"/>
  <c r="F23" i="1"/>
  <c r="L151" i="1"/>
  <c r="N151" i="1" s="1"/>
  <c r="F190" i="1"/>
  <c r="H190" i="1" s="1"/>
  <c r="I94" i="4" l="1"/>
  <c r="I93" i="4"/>
  <c r="I51" i="4"/>
  <c r="J51" i="4" s="1"/>
  <c r="I53" i="4"/>
  <c r="I50" i="4"/>
  <c r="I91" i="4"/>
  <c r="I49" i="4"/>
  <c r="I90" i="4"/>
  <c r="I92" i="4"/>
  <c r="I48" i="4"/>
  <c r="I89" i="4"/>
  <c r="I47" i="4"/>
  <c r="I88" i="4"/>
  <c r="R87" i="4"/>
  <c r="L87" i="4"/>
  <c r="O87" i="4"/>
  <c r="I87" i="4"/>
  <c r="I99" i="4" s="1"/>
  <c r="H79" i="5"/>
  <c r="E103" i="5"/>
  <c r="K103" i="5" s="1"/>
  <c r="F103" i="5"/>
  <c r="L103" i="5" s="1"/>
  <c r="G103" i="5"/>
  <c r="M103" i="5" s="1"/>
  <c r="H103" i="5"/>
  <c r="N103" i="5" s="1"/>
  <c r="E102" i="5"/>
  <c r="K102" i="5" s="1"/>
  <c r="F102" i="5"/>
  <c r="L102" i="5" s="1"/>
  <c r="G102" i="5"/>
  <c r="M102" i="5" s="1"/>
  <c r="H102" i="5"/>
  <c r="N102" i="5" s="1"/>
  <c r="E101" i="5"/>
  <c r="G101" i="5"/>
  <c r="M101" i="5" s="1"/>
  <c r="H101" i="5"/>
  <c r="N101" i="5" s="1"/>
  <c r="F101" i="5"/>
  <c r="L101" i="5" s="1"/>
  <c r="E100" i="5"/>
  <c r="K100" i="5" s="1"/>
  <c r="F100" i="5"/>
  <c r="L100" i="5" s="1"/>
  <c r="G100" i="5"/>
  <c r="M100" i="5" s="1"/>
  <c r="H100" i="5"/>
  <c r="N100" i="5" s="1"/>
  <c r="E99" i="5"/>
  <c r="K99" i="5" s="1"/>
  <c r="F99" i="5"/>
  <c r="L99" i="5" s="1"/>
  <c r="G99" i="5"/>
  <c r="M99" i="5" s="1"/>
  <c r="H99" i="5"/>
  <c r="N99" i="5" s="1"/>
  <c r="E98" i="5"/>
  <c r="K98" i="5" s="1"/>
  <c r="F98" i="5"/>
  <c r="L98" i="5" s="1"/>
  <c r="G98" i="5"/>
  <c r="M98" i="5" s="1"/>
  <c r="H98" i="5"/>
  <c r="N98" i="5" s="1"/>
  <c r="F97" i="5"/>
  <c r="L97" i="5" s="1"/>
  <c r="G97" i="5"/>
  <c r="M97" i="5" s="1"/>
  <c r="H97" i="5"/>
  <c r="N97" i="5" s="1"/>
  <c r="E97" i="5"/>
  <c r="K97" i="5" s="1"/>
  <c r="E92" i="5"/>
  <c r="K92" i="5" s="1"/>
  <c r="G92" i="5"/>
  <c r="M92" i="5" s="1"/>
  <c r="F92" i="5"/>
  <c r="L92" i="5" s="1"/>
  <c r="H92" i="5"/>
  <c r="N92" i="5" s="1"/>
  <c r="E91" i="5"/>
  <c r="F91" i="5"/>
  <c r="L91" i="5" s="1"/>
  <c r="G91" i="5"/>
  <c r="M91" i="5" s="1"/>
  <c r="H91" i="5"/>
  <c r="N91" i="5" s="1"/>
  <c r="F90" i="5"/>
  <c r="L90" i="5" s="1"/>
  <c r="H90" i="5"/>
  <c r="N90" i="5" s="1"/>
  <c r="E90" i="5"/>
  <c r="G90" i="5"/>
  <c r="M90" i="5" s="1"/>
  <c r="E89" i="5"/>
  <c r="K89" i="5" s="1"/>
  <c r="G89" i="5"/>
  <c r="M89" i="5" s="1"/>
  <c r="H89" i="5"/>
  <c r="N89" i="5" s="1"/>
  <c r="F89" i="5"/>
  <c r="L89" i="5" s="1"/>
  <c r="G88" i="5"/>
  <c r="M88" i="5" s="1"/>
  <c r="H88" i="5"/>
  <c r="N88" i="5" s="1"/>
  <c r="E88" i="5"/>
  <c r="K88" i="5" s="1"/>
  <c r="F88" i="5"/>
  <c r="L88" i="5" s="1"/>
  <c r="E87" i="5"/>
  <c r="K87" i="5" s="1"/>
  <c r="H87" i="5"/>
  <c r="N87" i="5" s="1"/>
  <c r="F87" i="5"/>
  <c r="L87" i="5" s="1"/>
  <c r="G87" i="5"/>
  <c r="M87" i="5" s="1"/>
  <c r="G86" i="5"/>
  <c r="M86" i="5" s="1"/>
  <c r="H86" i="5"/>
  <c r="N86" i="5" s="1"/>
  <c r="E86" i="5"/>
  <c r="K86" i="5" s="1"/>
  <c r="F86" i="5"/>
  <c r="L86" i="5" s="1"/>
  <c r="E81" i="5"/>
  <c r="K81" i="5" s="1"/>
  <c r="F81" i="5"/>
  <c r="L81" i="5" s="1"/>
  <c r="G81" i="5"/>
  <c r="M81" i="5" s="1"/>
  <c r="H81" i="5"/>
  <c r="N81" i="5" s="1"/>
  <c r="F80" i="5"/>
  <c r="L80" i="5" s="1"/>
  <c r="G80" i="5"/>
  <c r="M80" i="5" s="1"/>
  <c r="H80" i="5"/>
  <c r="N80" i="5" s="1"/>
  <c r="E80" i="5"/>
  <c r="K80" i="5" s="1"/>
  <c r="G79" i="5"/>
  <c r="M79" i="5" s="1"/>
  <c r="E79" i="5"/>
  <c r="K79" i="5" s="1"/>
  <c r="F79" i="5"/>
  <c r="L79" i="5" s="1"/>
  <c r="N79" i="5"/>
  <c r="E78" i="5"/>
  <c r="K78" i="5" s="1"/>
  <c r="H78" i="5"/>
  <c r="N78" i="5" s="1"/>
  <c r="F78" i="5"/>
  <c r="L78" i="5" s="1"/>
  <c r="G78" i="5"/>
  <c r="M78" i="5" s="1"/>
  <c r="E77" i="5"/>
  <c r="K77" i="5" s="1"/>
  <c r="G77" i="5"/>
  <c r="M77" i="5" s="1"/>
  <c r="F77" i="5"/>
  <c r="L77" i="5" s="1"/>
  <c r="H77" i="5"/>
  <c r="N77" i="5" s="1"/>
  <c r="E76" i="5"/>
  <c r="K76" i="5" s="1"/>
  <c r="F76" i="5"/>
  <c r="L76" i="5" s="1"/>
  <c r="G76" i="5"/>
  <c r="M76" i="5" s="1"/>
  <c r="H76" i="5"/>
  <c r="N76" i="5" s="1"/>
  <c r="E75" i="5"/>
  <c r="K75" i="5" s="1"/>
  <c r="F75" i="5"/>
  <c r="L75" i="5" s="1"/>
  <c r="G75" i="5"/>
  <c r="M75" i="5" s="1"/>
  <c r="H75" i="5"/>
  <c r="N75" i="5" s="1"/>
  <c r="N181" i="1"/>
  <c r="Q15" i="1"/>
  <c r="Q75" i="1" s="1"/>
  <c r="C118" i="1"/>
  <c r="C139" i="1" s="1"/>
  <c r="E139" i="1" s="1"/>
  <c r="N14" i="1"/>
  <c r="N74" i="1" s="1"/>
  <c r="Q151" i="1"/>
  <c r="Q9" i="1"/>
  <c r="Q69" i="1" s="1"/>
  <c r="E95" i="1"/>
  <c r="H12" i="1"/>
  <c r="H72" i="1" s="1"/>
  <c r="I190" i="1"/>
  <c r="K190" i="1" s="1"/>
  <c r="C190" i="1"/>
  <c r="C181" i="1"/>
  <c r="C160" i="1"/>
  <c r="E142" i="1"/>
  <c r="L172" i="1"/>
  <c r="N172" i="1" s="1"/>
  <c r="F172" i="1"/>
  <c r="H172" i="1" s="1"/>
  <c r="O160" i="1"/>
  <c r="Q160" i="1" s="1"/>
  <c r="L190" i="1"/>
  <c r="N190" i="1" s="1"/>
  <c r="O142" i="1"/>
  <c r="F151" i="1"/>
  <c r="H151" i="1" s="1"/>
  <c r="N10" i="1"/>
  <c r="N70" i="1" s="1"/>
  <c r="I172" i="1"/>
  <c r="K172" i="1" s="1"/>
  <c r="Q88" i="1"/>
  <c r="O190" i="1"/>
  <c r="Q190" i="1" s="1"/>
  <c r="O118" i="1"/>
  <c r="B92" i="4"/>
  <c r="C151" i="1"/>
  <c r="K12" i="1"/>
  <c r="K72" i="1" s="1"/>
  <c r="E13" i="1"/>
  <c r="E73" i="1" s="1"/>
  <c r="O172" i="1"/>
  <c r="Q172" i="1" s="1"/>
  <c r="L47" i="4"/>
  <c r="L59" i="4" s="1"/>
  <c r="B91" i="4"/>
  <c r="L20" i="1"/>
  <c r="F142" i="1"/>
  <c r="R88" i="4"/>
  <c r="S88" i="4" s="1"/>
  <c r="J21" i="3"/>
  <c r="E190" i="1"/>
  <c r="Q13" i="1"/>
  <c r="Q73" i="1" s="1"/>
  <c r="E96" i="5"/>
  <c r="K96" i="5" s="1"/>
  <c r="F96" i="5"/>
  <c r="L96" i="5" s="1"/>
  <c r="G96" i="5"/>
  <c r="M96" i="5" s="1"/>
  <c r="H96" i="5"/>
  <c r="N96" i="5" s="1"/>
  <c r="F85" i="5"/>
  <c r="L85" i="5" s="1"/>
  <c r="G85" i="5"/>
  <c r="M85" i="5" s="1"/>
  <c r="H85" i="5"/>
  <c r="N85" i="5" s="1"/>
  <c r="G60" i="5"/>
  <c r="G56" i="5"/>
  <c r="F74" i="5"/>
  <c r="L74" i="5" s="1"/>
  <c r="G74" i="5"/>
  <c r="M74" i="5" s="1"/>
  <c r="H74" i="5"/>
  <c r="N74" i="5" s="1"/>
  <c r="E85" i="5"/>
  <c r="K85" i="5" s="1"/>
  <c r="G67" i="5"/>
  <c r="G69" i="5"/>
  <c r="G68" i="5"/>
  <c r="G66" i="5"/>
  <c r="E74" i="5"/>
  <c r="K74" i="5" s="1"/>
  <c r="F68" i="5"/>
  <c r="F69" i="5"/>
  <c r="F67" i="5"/>
  <c r="F66" i="5"/>
  <c r="G59" i="5"/>
  <c r="G55" i="5"/>
  <c r="E57" i="5"/>
  <c r="E67" i="5"/>
  <c r="E69" i="5"/>
  <c r="E68" i="5"/>
  <c r="E66" i="5"/>
  <c r="G62" i="5"/>
  <c r="G58" i="5"/>
  <c r="G61" i="5"/>
  <c r="G57" i="5"/>
  <c r="F59" i="5"/>
  <c r="F55" i="5"/>
  <c r="E58" i="5"/>
  <c r="E59" i="5"/>
  <c r="F62" i="5"/>
  <c r="F58" i="5"/>
  <c r="E60" i="5"/>
  <c r="E56" i="5"/>
  <c r="E61" i="5"/>
  <c r="F61" i="5"/>
  <c r="F57" i="5"/>
  <c r="E62" i="5"/>
  <c r="F60" i="5"/>
  <c r="F56" i="5"/>
  <c r="E55" i="5"/>
  <c r="L12" i="4"/>
  <c r="I11" i="4"/>
  <c r="J11" i="4" s="1"/>
  <c r="B88" i="4"/>
  <c r="B90" i="4"/>
  <c r="B93" i="4"/>
  <c r="B94" i="4"/>
  <c r="B87" i="4"/>
  <c r="B89" i="4"/>
  <c r="R50" i="4"/>
  <c r="O50" i="4"/>
  <c r="P50" i="4" s="1"/>
  <c r="C27" i="1"/>
  <c r="C63" i="1" s="1"/>
  <c r="C64" i="3"/>
  <c r="F63" i="3"/>
  <c r="I118" i="1"/>
  <c r="I148" i="1" s="1"/>
  <c r="J20" i="3"/>
  <c r="J19" i="3"/>
  <c r="C62" i="3"/>
  <c r="F62" i="3"/>
  <c r="C61" i="3"/>
  <c r="F61" i="3"/>
  <c r="I7" i="4"/>
  <c r="J7" i="4" s="1"/>
  <c r="O90" i="4"/>
  <c r="P90" i="4" s="1"/>
  <c r="J18" i="3"/>
  <c r="I8" i="4"/>
  <c r="I20" i="4" s="1"/>
  <c r="F108" i="1"/>
  <c r="H108" i="1" s="1"/>
  <c r="F87" i="1"/>
  <c r="H87" i="1" s="1"/>
  <c r="O27" i="1"/>
  <c r="O39" i="1" s="1"/>
  <c r="O51" i="1" s="1"/>
  <c r="C75" i="1"/>
  <c r="I27" i="1"/>
  <c r="I9" i="4"/>
  <c r="I21" i="4" s="1"/>
  <c r="L26" i="1"/>
  <c r="L62" i="1" s="1"/>
  <c r="L221" i="1" s="1"/>
  <c r="C20" i="1"/>
  <c r="C32" i="1" s="1"/>
  <c r="C44" i="1" s="1"/>
  <c r="L23" i="1"/>
  <c r="L59" i="1" s="1"/>
  <c r="L199" i="1" s="1"/>
  <c r="N199" i="1" s="1"/>
  <c r="O23" i="1"/>
  <c r="I72" i="1"/>
  <c r="I109" i="1" s="1"/>
  <c r="J92" i="4"/>
  <c r="E88" i="1"/>
  <c r="E15" i="1"/>
  <c r="E75" i="1" s="1"/>
  <c r="K181" i="1"/>
  <c r="L118" i="1"/>
  <c r="L223" i="1" s="1"/>
  <c r="N223" i="1" s="1"/>
  <c r="H102" i="1"/>
  <c r="L108" i="1"/>
  <c r="N108" i="1" s="1"/>
  <c r="L101" i="1"/>
  <c r="E172" i="1"/>
  <c r="N142" i="1"/>
  <c r="K81" i="1"/>
  <c r="E14" i="1"/>
  <c r="E74" i="1" s="1"/>
  <c r="B48" i="4"/>
  <c r="B72" i="4" s="1"/>
  <c r="R93" i="4"/>
  <c r="S93" i="4" s="1"/>
  <c r="N109" i="1"/>
  <c r="B47" i="4"/>
  <c r="B71" i="4" s="1"/>
  <c r="L94" i="1"/>
  <c r="N94" i="1" s="1"/>
  <c r="H142" i="1"/>
  <c r="H10" i="1"/>
  <c r="H70" i="1" s="1"/>
  <c r="K14" i="1"/>
  <c r="K74" i="1" s="1"/>
  <c r="R91" i="4"/>
  <c r="R92" i="4"/>
  <c r="S92" i="4" s="1"/>
  <c r="L73" i="1"/>
  <c r="L87" i="1"/>
  <c r="N87" i="1" s="1"/>
  <c r="N80" i="1"/>
  <c r="F118" i="1"/>
  <c r="F157" i="1" s="1"/>
  <c r="H157" i="1" s="1"/>
  <c r="R90" i="4"/>
  <c r="S90" i="4" s="1"/>
  <c r="R94" i="4"/>
  <c r="B49" i="4"/>
  <c r="B73" i="4" s="1"/>
  <c r="R12" i="4"/>
  <c r="B52" i="4"/>
  <c r="B64" i="4" s="1"/>
  <c r="G95" i="4"/>
  <c r="L82" i="1"/>
  <c r="N81" i="1"/>
  <c r="O139" i="1"/>
  <c r="Q139" i="1" s="1"/>
  <c r="O212" i="1"/>
  <c r="Q212" i="1" s="1"/>
  <c r="H95" i="1"/>
  <c r="N102" i="1"/>
  <c r="C212" i="1"/>
  <c r="E212" i="1" s="1"/>
  <c r="C223" i="1"/>
  <c r="E223" i="1" s="1"/>
  <c r="E151" i="1"/>
  <c r="E160" i="1"/>
  <c r="H181" i="1"/>
  <c r="E9" i="1"/>
  <c r="E69" i="1" s="1"/>
  <c r="O89" i="4"/>
  <c r="P89" i="4" s="1"/>
  <c r="O88" i="4"/>
  <c r="C21" i="1"/>
  <c r="C57" i="1" s="1"/>
  <c r="E57" i="1" s="1"/>
  <c r="E11" i="1"/>
  <c r="E71" i="1" s="1"/>
  <c r="N12" i="1"/>
  <c r="N72" i="1" s="1"/>
  <c r="E102" i="1"/>
  <c r="Q12" i="1"/>
  <c r="Q72" i="1" s="1"/>
  <c r="F26" i="1"/>
  <c r="F62" i="1" s="1"/>
  <c r="F221" i="1" s="1"/>
  <c r="L110" i="1"/>
  <c r="H11" i="1"/>
  <c r="H71" i="1" s="1"/>
  <c r="C74" i="1"/>
  <c r="C108" i="1" s="1"/>
  <c r="Q142" i="1"/>
  <c r="O71" i="1"/>
  <c r="O102" i="1" s="1"/>
  <c r="Q102" i="1" s="1"/>
  <c r="C26" i="1"/>
  <c r="C38" i="1" s="1"/>
  <c r="C50" i="1" s="1"/>
  <c r="C130" i="1" s="1"/>
  <c r="N8" i="1"/>
  <c r="N68" i="1" s="1"/>
  <c r="Q181" i="1"/>
  <c r="K109" i="1"/>
  <c r="B9" i="4"/>
  <c r="B33" i="4" s="1"/>
  <c r="S87" i="4"/>
  <c r="N160" i="1"/>
  <c r="L103" i="1"/>
  <c r="C72" i="1"/>
  <c r="C109" i="1" s="1"/>
  <c r="E109" i="1" s="1"/>
  <c r="K8" i="1"/>
  <c r="K68" i="1" s="1"/>
  <c r="R89" i="4"/>
  <c r="L46" i="4"/>
  <c r="M46" i="4" s="1"/>
  <c r="C157" i="1"/>
  <c r="E157" i="1" s="1"/>
  <c r="L24" i="1"/>
  <c r="L60" i="1" s="1"/>
  <c r="E181" i="1"/>
  <c r="E12" i="1"/>
  <c r="E72" i="1" s="1"/>
  <c r="Q11" i="1"/>
  <c r="Q71" i="1" s="1"/>
  <c r="Q8" i="1"/>
  <c r="Q68" i="1" s="1"/>
  <c r="R10" i="4"/>
  <c r="S10" i="4" s="1"/>
  <c r="O5" i="4"/>
  <c r="P5" i="4" s="1"/>
  <c r="R5" i="4"/>
  <c r="S5" i="4" s="1"/>
  <c r="R11" i="4"/>
  <c r="S11" i="4" s="1"/>
  <c r="R6" i="4"/>
  <c r="R8" i="4"/>
  <c r="S8" i="4" s="1"/>
  <c r="R9" i="4"/>
  <c r="L8" i="4"/>
  <c r="M8" i="4" s="1"/>
  <c r="U4" i="4"/>
  <c r="L9" i="4"/>
  <c r="M9" i="4" s="1"/>
  <c r="L6" i="4"/>
  <c r="M6" i="4" s="1"/>
  <c r="L11" i="4"/>
  <c r="M11" i="4" s="1"/>
  <c r="L7" i="4"/>
  <c r="L52" i="4"/>
  <c r="L64" i="4" s="1"/>
  <c r="L53" i="4"/>
  <c r="M53" i="4" s="1"/>
  <c r="O46" i="4"/>
  <c r="P46" i="4" s="1"/>
  <c r="O47" i="4"/>
  <c r="P47" i="4" s="1"/>
  <c r="L50" i="4"/>
  <c r="M50" i="4" s="1"/>
  <c r="L49" i="4"/>
  <c r="K23" i="3"/>
  <c r="L51" i="4"/>
  <c r="E66" i="3"/>
  <c r="F59" i="1"/>
  <c r="F35" i="1"/>
  <c r="N15" i="1"/>
  <c r="N75" i="1" s="1"/>
  <c r="L75" i="1"/>
  <c r="N101" i="1"/>
  <c r="H15" i="1"/>
  <c r="H75" i="1" s="1"/>
  <c r="F75" i="1"/>
  <c r="F27" i="1"/>
  <c r="N95" i="1"/>
  <c r="C63" i="3"/>
  <c r="I160" i="1"/>
  <c r="K160" i="1" s="1"/>
  <c r="I142" i="1"/>
  <c r="K142" i="1" s="1"/>
  <c r="I151" i="1"/>
  <c r="K151" i="1" s="1"/>
  <c r="F24" i="1"/>
  <c r="F72" i="1"/>
  <c r="F109" i="1" s="1"/>
  <c r="H109" i="1" s="1"/>
  <c r="L69" i="1"/>
  <c r="L88" i="1" s="1"/>
  <c r="L21" i="1"/>
  <c r="N9" i="1"/>
  <c r="N69" i="1" s="1"/>
  <c r="L32" i="1"/>
  <c r="L44" i="1" s="1"/>
  <c r="L56" i="1"/>
  <c r="N56" i="1" s="1"/>
  <c r="O22" i="1"/>
  <c r="O70" i="1"/>
  <c r="O95" i="1" s="1"/>
  <c r="Q95" i="1" s="1"/>
  <c r="L96" i="1"/>
  <c r="Q81" i="1"/>
  <c r="L88" i="4"/>
  <c r="L93" i="4"/>
  <c r="F54" i="3"/>
  <c r="L94" i="4"/>
  <c r="L90" i="4"/>
  <c r="L91" i="4"/>
  <c r="L92" i="4"/>
  <c r="U86" i="4"/>
  <c r="L89" i="4"/>
  <c r="E108" i="1"/>
  <c r="O32" i="1"/>
  <c r="O44" i="1" s="1"/>
  <c r="O56" i="1"/>
  <c r="Q56" i="1" s="1"/>
  <c r="E8" i="1"/>
  <c r="E68" i="1" s="1"/>
  <c r="C68" i="1"/>
  <c r="C81" i="1" s="1"/>
  <c r="E81" i="1" s="1"/>
  <c r="I25" i="1"/>
  <c r="K13" i="1"/>
  <c r="K73" i="1" s="1"/>
  <c r="I73" i="1"/>
  <c r="I26" i="1"/>
  <c r="I74" i="1"/>
  <c r="L27" i="1"/>
  <c r="Q10" i="1"/>
  <c r="Q70" i="1" s="1"/>
  <c r="C87" i="1"/>
  <c r="I63" i="1"/>
  <c r="I232" i="1" s="1"/>
  <c r="O234" i="1"/>
  <c r="O201" i="1"/>
  <c r="C23" i="1"/>
  <c r="I24" i="1"/>
  <c r="I22" i="1"/>
  <c r="I20" i="1"/>
  <c r="L22" i="1"/>
  <c r="C24" i="1"/>
  <c r="I23" i="1"/>
  <c r="B66" i="3"/>
  <c r="F47" i="1"/>
  <c r="I39" i="1"/>
  <c r="I51" i="1" s="1"/>
  <c r="O157" i="1"/>
  <c r="F20" i="1"/>
  <c r="O21" i="1"/>
  <c r="I69" i="1"/>
  <c r="I88" i="1" s="1"/>
  <c r="K88" i="1" s="1"/>
  <c r="I21" i="1"/>
  <c r="F68" i="1"/>
  <c r="F81" i="1" s="1"/>
  <c r="H81" i="1" s="1"/>
  <c r="H8" i="1"/>
  <c r="H68" i="1" s="1"/>
  <c r="O74" i="1"/>
  <c r="O26" i="1"/>
  <c r="Q14" i="1"/>
  <c r="Q74" i="1" s="1"/>
  <c r="R48" i="4"/>
  <c r="R52" i="4"/>
  <c r="R53" i="4"/>
  <c r="R46" i="4"/>
  <c r="R49" i="4"/>
  <c r="R51" i="4"/>
  <c r="R47" i="4"/>
  <c r="O223" i="1"/>
  <c r="O148" i="1"/>
  <c r="E10" i="1"/>
  <c r="E70" i="1" s="1"/>
  <c r="C22" i="1"/>
  <c r="O24" i="1"/>
  <c r="F21" i="1"/>
  <c r="H9" i="1"/>
  <c r="H69" i="1" s="1"/>
  <c r="F69" i="1"/>
  <c r="F88" i="1" s="1"/>
  <c r="H88" i="1" s="1"/>
  <c r="I139" i="1"/>
  <c r="I234" i="1"/>
  <c r="I157" i="1"/>
  <c r="F94" i="1"/>
  <c r="F80" i="1"/>
  <c r="F101" i="1"/>
  <c r="I75" i="1"/>
  <c r="K15" i="1"/>
  <c r="K75" i="1" s="1"/>
  <c r="C234" i="1"/>
  <c r="B8" i="4"/>
  <c r="F22" i="1"/>
  <c r="B7" i="4"/>
  <c r="B11" i="4"/>
  <c r="B5" i="4"/>
  <c r="B12" i="4"/>
  <c r="B10" i="4"/>
  <c r="B6" i="4"/>
  <c r="E54" i="3"/>
  <c r="O51" i="4"/>
  <c r="O53" i="4"/>
  <c r="O49" i="4"/>
  <c r="O48" i="4"/>
  <c r="O52" i="4"/>
  <c r="L48" i="4"/>
  <c r="G54" i="4"/>
  <c r="G13" i="4"/>
  <c r="U45" i="4"/>
  <c r="R7" i="4"/>
  <c r="O11" i="4"/>
  <c r="O10" i="4"/>
  <c r="O8" i="4"/>
  <c r="O12" i="4"/>
  <c r="O7" i="4"/>
  <c r="O6" i="4"/>
  <c r="O9" i="4"/>
  <c r="D54" i="3"/>
  <c r="O92" i="4"/>
  <c r="O91" i="4"/>
  <c r="O93" i="4"/>
  <c r="O94" i="4"/>
  <c r="B46" i="4"/>
  <c r="B53" i="4"/>
  <c r="B50" i="4"/>
  <c r="B51" i="4"/>
  <c r="I23" i="3"/>
  <c r="I12" i="4"/>
  <c r="I5" i="4"/>
  <c r="I6" i="4"/>
  <c r="I10" i="4"/>
  <c r="F64" i="3"/>
  <c r="L10" i="4"/>
  <c r="L5" i="4"/>
  <c r="F22" i="5" l="1"/>
  <c r="K90" i="5"/>
  <c r="I90" i="5"/>
  <c r="K91" i="5"/>
  <c r="I91" i="5"/>
  <c r="K101" i="5"/>
  <c r="O103" i="5" s="1"/>
  <c r="I101" i="5"/>
  <c r="M47" i="4"/>
  <c r="M59" i="4" s="1"/>
  <c r="I79" i="5"/>
  <c r="C25" i="1"/>
  <c r="C101" i="1"/>
  <c r="I212" i="1"/>
  <c r="K212" i="1" s="1"/>
  <c r="L157" i="1"/>
  <c r="N157" i="1" s="1"/>
  <c r="L201" i="1"/>
  <c r="N201" i="1" s="1"/>
  <c r="C148" i="1"/>
  <c r="L36" i="1"/>
  <c r="L48" i="1" s="1"/>
  <c r="R74" i="4" s="1"/>
  <c r="R21" i="4"/>
  <c r="C201" i="1"/>
  <c r="E201" i="1" s="1"/>
  <c r="L24" i="4"/>
  <c r="L63" i="4"/>
  <c r="R62" i="4"/>
  <c r="L139" i="1"/>
  <c r="N139" i="1" s="1"/>
  <c r="F148" i="1"/>
  <c r="F169" i="1" s="1"/>
  <c r="O63" i="1"/>
  <c r="O232" i="1" s="1"/>
  <c r="Q232" i="1" s="1"/>
  <c r="R100" i="4"/>
  <c r="S100" i="4" s="1"/>
  <c r="O73" i="1"/>
  <c r="C39" i="1"/>
  <c r="C51" i="1" s="1"/>
  <c r="R24" i="4"/>
  <c r="C94" i="1"/>
  <c r="E94" i="1" s="1"/>
  <c r="O25" i="1"/>
  <c r="O61" i="1" s="1"/>
  <c r="Q61" i="1" s="1"/>
  <c r="L234" i="1"/>
  <c r="N234" i="1" s="1"/>
  <c r="I23" i="4"/>
  <c r="J23" i="4" s="1"/>
  <c r="L148" i="1"/>
  <c r="N148" i="1" s="1"/>
  <c r="L19" i="4"/>
  <c r="F234" i="1"/>
  <c r="H234" i="1" s="1"/>
  <c r="F212" i="1"/>
  <c r="H212" i="1" s="1"/>
  <c r="C80" i="1"/>
  <c r="C82" i="1" s="1"/>
  <c r="C33" i="1"/>
  <c r="C45" i="1" s="1"/>
  <c r="I30" i="4" s="1"/>
  <c r="L212" i="1"/>
  <c r="N212" i="1" s="1"/>
  <c r="O100" i="4"/>
  <c r="I92" i="5"/>
  <c r="M12" i="4"/>
  <c r="E22" i="5"/>
  <c r="I81" i="5"/>
  <c r="I77" i="5"/>
  <c r="I99" i="5"/>
  <c r="I86" i="5"/>
  <c r="I103" i="5"/>
  <c r="H104" i="5"/>
  <c r="H93" i="5"/>
  <c r="G104" i="5"/>
  <c r="I85" i="5"/>
  <c r="E93" i="5"/>
  <c r="I97" i="5"/>
  <c r="I100" i="5"/>
  <c r="G93" i="5"/>
  <c r="F104" i="5"/>
  <c r="I88" i="5"/>
  <c r="F93" i="5"/>
  <c r="I96" i="5"/>
  <c r="E104" i="5"/>
  <c r="I102" i="5"/>
  <c r="I87" i="5"/>
  <c r="I98" i="5"/>
  <c r="I89" i="5"/>
  <c r="I80" i="5"/>
  <c r="I78" i="5"/>
  <c r="I76" i="5"/>
  <c r="I74" i="5"/>
  <c r="E82" i="5"/>
  <c r="H82" i="5"/>
  <c r="I75" i="5"/>
  <c r="G63" i="5"/>
  <c r="G70" i="5"/>
  <c r="G82" i="5"/>
  <c r="F82" i="5"/>
  <c r="E70" i="5"/>
  <c r="F70" i="5"/>
  <c r="E63" i="5"/>
  <c r="F63" i="5"/>
  <c r="B95" i="4"/>
  <c r="J87" i="4"/>
  <c r="J8" i="4"/>
  <c r="J20" i="4" s="1"/>
  <c r="O102" i="4"/>
  <c r="P102" i="4" s="1"/>
  <c r="I19" i="4"/>
  <c r="J19" i="4" s="1"/>
  <c r="F66" i="3"/>
  <c r="J91" i="4"/>
  <c r="O62" i="4"/>
  <c r="P62" i="4" s="1"/>
  <c r="I63" i="4"/>
  <c r="J63" i="4" s="1"/>
  <c r="I103" i="4"/>
  <c r="S50" i="4"/>
  <c r="B59" i="4"/>
  <c r="L38" i="1"/>
  <c r="L50" i="1" s="1"/>
  <c r="R35" i="4" s="1"/>
  <c r="S35" i="4" s="1"/>
  <c r="F38" i="1"/>
  <c r="F50" i="1" s="1"/>
  <c r="N59" i="1"/>
  <c r="C56" i="1"/>
  <c r="E56" i="1" s="1"/>
  <c r="L35" i="1"/>
  <c r="L47" i="1" s="1"/>
  <c r="N47" i="1" s="1"/>
  <c r="E63" i="1"/>
  <c r="C232" i="1"/>
  <c r="E232" i="1" s="1"/>
  <c r="J23" i="3"/>
  <c r="D73" i="3" s="1"/>
  <c r="E73" i="3" s="1"/>
  <c r="R20" i="4"/>
  <c r="S20" i="4" s="1"/>
  <c r="C66" i="3"/>
  <c r="R18" i="4"/>
  <c r="R101" i="4"/>
  <c r="S101" i="4" s="1"/>
  <c r="R106" i="4"/>
  <c r="R103" i="4"/>
  <c r="I201" i="1"/>
  <c r="K201" i="1" s="1"/>
  <c r="I223" i="1"/>
  <c r="K223" i="1" s="1"/>
  <c r="F201" i="1"/>
  <c r="H201" i="1" s="1"/>
  <c r="F139" i="1"/>
  <c r="H139" i="1" s="1"/>
  <c r="O101" i="4"/>
  <c r="P101" i="4" s="1"/>
  <c r="S94" i="4"/>
  <c r="B61" i="4"/>
  <c r="I111" i="4"/>
  <c r="R17" i="4"/>
  <c r="S17" i="4" s="1"/>
  <c r="O17" i="4"/>
  <c r="P17" i="4" s="1"/>
  <c r="P88" i="4"/>
  <c r="U87" i="4"/>
  <c r="R99" i="4"/>
  <c r="S99" i="4" s="1"/>
  <c r="S91" i="4"/>
  <c r="O58" i="4"/>
  <c r="P58" i="4" s="1"/>
  <c r="L58" i="4"/>
  <c r="M58" i="4" s="1"/>
  <c r="B60" i="4"/>
  <c r="L18" i="4"/>
  <c r="M18" i="4" s="1"/>
  <c r="B21" i="4"/>
  <c r="L21" i="4"/>
  <c r="M21" i="4" s="1"/>
  <c r="R22" i="4"/>
  <c r="S22" i="4" s="1"/>
  <c r="R105" i="4"/>
  <c r="S105" i="4" s="1"/>
  <c r="I104" i="4"/>
  <c r="J104" i="4" s="1"/>
  <c r="B76" i="4"/>
  <c r="S12" i="4"/>
  <c r="J9" i="4"/>
  <c r="J21" i="4" s="1"/>
  <c r="O35" i="1"/>
  <c r="O47" i="1" s="1"/>
  <c r="O127" i="1" s="1"/>
  <c r="O59" i="1"/>
  <c r="F223" i="1"/>
  <c r="H223" i="1" s="1"/>
  <c r="G22" i="5"/>
  <c r="R102" i="4"/>
  <c r="S102" i="4" s="1"/>
  <c r="L25" i="1"/>
  <c r="L37" i="1" s="1"/>
  <c r="L49" i="1" s="1"/>
  <c r="R75" i="4" s="1"/>
  <c r="U92" i="4"/>
  <c r="R104" i="4"/>
  <c r="S104" i="4" s="1"/>
  <c r="S89" i="4"/>
  <c r="N13" i="1"/>
  <c r="N73" i="1" s="1"/>
  <c r="I178" i="1"/>
  <c r="K178" i="1" s="1"/>
  <c r="I187" i="1"/>
  <c r="K187" i="1" s="1"/>
  <c r="I169" i="1"/>
  <c r="K169" i="1" s="1"/>
  <c r="K148" i="1"/>
  <c r="H62" i="1"/>
  <c r="H221" i="1"/>
  <c r="C110" i="1"/>
  <c r="M52" i="4"/>
  <c r="M64" i="4" s="1"/>
  <c r="I35" i="4"/>
  <c r="J35" i="4" s="1"/>
  <c r="E50" i="1"/>
  <c r="R95" i="4"/>
  <c r="L62" i="4"/>
  <c r="M62" i="4" s="1"/>
  <c r="C62" i="1"/>
  <c r="E62" i="1" s="1"/>
  <c r="M7" i="4"/>
  <c r="S6" i="4"/>
  <c r="O59" i="4"/>
  <c r="P59" i="4" s="1"/>
  <c r="L65" i="4"/>
  <c r="M65" i="4" s="1"/>
  <c r="L20" i="4"/>
  <c r="M20" i="4" s="1"/>
  <c r="U8" i="4"/>
  <c r="S9" i="4"/>
  <c r="U9" i="4"/>
  <c r="R23" i="4"/>
  <c r="S23" i="4" s="1"/>
  <c r="L23" i="4"/>
  <c r="M23" i="4" s="1"/>
  <c r="L35" i="4"/>
  <c r="M35" i="4" s="1"/>
  <c r="U7" i="4"/>
  <c r="M51" i="4"/>
  <c r="M49" i="4"/>
  <c r="L61" i="4"/>
  <c r="R33" i="4"/>
  <c r="L128" i="1"/>
  <c r="R115" i="4"/>
  <c r="K51" i="1"/>
  <c r="I131" i="1"/>
  <c r="I235" i="1" s="1"/>
  <c r="B116" i="4"/>
  <c r="B104" i="4"/>
  <c r="B103" i="4"/>
  <c r="B115" i="4"/>
  <c r="M10" i="4"/>
  <c r="L22" i="4"/>
  <c r="U49" i="4"/>
  <c r="J49" i="4"/>
  <c r="I61" i="4"/>
  <c r="I100" i="4"/>
  <c r="J88" i="4"/>
  <c r="U88" i="4"/>
  <c r="B75" i="4"/>
  <c r="B63" i="4"/>
  <c r="P94" i="4"/>
  <c r="O106" i="4"/>
  <c r="O118" i="4"/>
  <c r="P12" i="4"/>
  <c r="O36" i="4"/>
  <c r="O24" i="4"/>
  <c r="O61" i="4"/>
  <c r="P49" i="4"/>
  <c r="B36" i="4"/>
  <c r="B24" i="4"/>
  <c r="B23" i="4"/>
  <c r="B35" i="4"/>
  <c r="O54" i="4"/>
  <c r="E148" i="1"/>
  <c r="C187" i="1"/>
  <c r="C178" i="1"/>
  <c r="C169" i="1"/>
  <c r="H50" i="1"/>
  <c r="L76" i="4"/>
  <c r="F130" i="1"/>
  <c r="F224" i="1" s="1"/>
  <c r="F57" i="1"/>
  <c r="H57" i="1" s="1"/>
  <c r="F33" i="1"/>
  <c r="F45" i="1" s="1"/>
  <c r="L112" i="4" s="1"/>
  <c r="R111" i="4"/>
  <c r="N44" i="1"/>
  <c r="L124" i="1"/>
  <c r="R60" i="4"/>
  <c r="S48" i="4"/>
  <c r="I57" i="1"/>
  <c r="K57" i="1" s="1"/>
  <c r="I33" i="1"/>
  <c r="I45" i="1" s="1"/>
  <c r="O30" i="4" s="1"/>
  <c r="C36" i="1"/>
  <c r="C48" i="1" s="1"/>
  <c r="I74" i="4" s="1"/>
  <c r="C60" i="1"/>
  <c r="K232" i="1"/>
  <c r="K63" i="1"/>
  <c r="L63" i="1"/>
  <c r="L232" i="1" s="1"/>
  <c r="L39" i="1"/>
  <c r="L51" i="1" s="1"/>
  <c r="R77" i="4" s="1"/>
  <c r="I80" i="1"/>
  <c r="I94" i="1"/>
  <c r="I87" i="1"/>
  <c r="I101" i="1"/>
  <c r="I108" i="1"/>
  <c r="L106" i="4"/>
  <c r="M94" i="4"/>
  <c r="L57" i="1"/>
  <c r="N57" i="1" s="1"/>
  <c r="L33" i="1"/>
  <c r="L45" i="1" s="1"/>
  <c r="R71" i="4" s="1"/>
  <c r="I64" i="4"/>
  <c r="U52" i="4"/>
  <c r="I76" i="4"/>
  <c r="J52" i="4"/>
  <c r="I105" i="4"/>
  <c r="U93" i="4"/>
  <c r="J93" i="4"/>
  <c r="I117" i="4"/>
  <c r="B74" i="4"/>
  <c r="B62" i="4"/>
  <c r="O105" i="4"/>
  <c r="P93" i="4"/>
  <c r="O20" i="4"/>
  <c r="P8" i="4"/>
  <c r="P53" i="4"/>
  <c r="O77" i="4"/>
  <c r="O65" i="4"/>
  <c r="B112" i="4"/>
  <c r="B100" i="4"/>
  <c r="B19" i="4"/>
  <c r="B31" i="4"/>
  <c r="B20" i="4"/>
  <c r="B32" i="4"/>
  <c r="N60" i="1"/>
  <c r="L210" i="1"/>
  <c r="N210" i="1" s="1"/>
  <c r="O36" i="1"/>
  <c r="O48" i="1" s="1"/>
  <c r="O60" i="1"/>
  <c r="O131" i="1"/>
  <c r="O235" i="1" s="1"/>
  <c r="Q51" i="1"/>
  <c r="L58" i="1"/>
  <c r="N58" i="1" s="1"/>
  <c r="L34" i="1"/>
  <c r="L46" i="1" s="1"/>
  <c r="R72" i="4" s="1"/>
  <c r="I62" i="1"/>
  <c r="I221" i="1" s="1"/>
  <c r="I38" i="1"/>
  <c r="I50" i="1" s="1"/>
  <c r="O35" i="4" s="1"/>
  <c r="G23" i="5"/>
  <c r="G20" i="5"/>
  <c r="L89" i="1"/>
  <c r="N88" i="1"/>
  <c r="U5" i="4"/>
  <c r="I17" i="4"/>
  <c r="O22" i="4"/>
  <c r="P10" i="4"/>
  <c r="P11" i="4"/>
  <c r="O23" i="4"/>
  <c r="B99" i="4"/>
  <c r="B111" i="4"/>
  <c r="K234" i="1"/>
  <c r="U47" i="4"/>
  <c r="I59" i="4"/>
  <c r="J47" i="4"/>
  <c r="F20" i="5"/>
  <c r="F23" i="5"/>
  <c r="R61" i="4"/>
  <c r="S49" i="4"/>
  <c r="R73" i="4"/>
  <c r="I61" i="1"/>
  <c r="K61" i="1" s="1"/>
  <c r="I37" i="1"/>
  <c r="I49" i="1" s="1"/>
  <c r="O34" i="4" s="1"/>
  <c r="O34" i="1"/>
  <c r="O46" i="1" s="1"/>
  <c r="O58" i="1"/>
  <c r="Q58" i="1" s="1"/>
  <c r="F36" i="1"/>
  <c r="F48" i="1" s="1"/>
  <c r="L115" i="4" s="1"/>
  <c r="F60" i="1"/>
  <c r="U94" i="4"/>
  <c r="J94" i="4"/>
  <c r="I106" i="4"/>
  <c r="I118" i="4"/>
  <c r="J90" i="4"/>
  <c r="I102" i="4"/>
  <c r="U90" i="4"/>
  <c r="O21" i="4"/>
  <c r="P9" i="4"/>
  <c r="R29" i="4"/>
  <c r="M48" i="4"/>
  <c r="L60" i="4"/>
  <c r="L54" i="4"/>
  <c r="B30" i="4"/>
  <c r="B18" i="4"/>
  <c r="B113" i="4"/>
  <c r="B101" i="4"/>
  <c r="H101" i="1"/>
  <c r="F103" i="1"/>
  <c r="Q223" i="1"/>
  <c r="R54" i="4"/>
  <c r="S46" i="4"/>
  <c r="R58" i="4"/>
  <c r="R70" i="4"/>
  <c r="O101" i="1"/>
  <c r="O80" i="1"/>
  <c r="O87" i="1"/>
  <c r="O94" i="1"/>
  <c r="O108" i="1"/>
  <c r="Q157" i="1"/>
  <c r="C59" i="1"/>
  <c r="C35" i="1"/>
  <c r="C47" i="1" s="1"/>
  <c r="I73" i="4" s="1"/>
  <c r="C103" i="1"/>
  <c r="E101" i="1"/>
  <c r="O124" i="1"/>
  <c r="Q44" i="1"/>
  <c r="L104" i="4"/>
  <c r="M92" i="4"/>
  <c r="E130" i="1"/>
  <c r="C224" i="1"/>
  <c r="B65" i="4"/>
  <c r="B77" i="4"/>
  <c r="S7" i="4"/>
  <c r="R19" i="4"/>
  <c r="K157" i="1"/>
  <c r="S47" i="4"/>
  <c r="R59" i="4"/>
  <c r="I32" i="1"/>
  <c r="I44" i="1" s="1"/>
  <c r="I56" i="1"/>
  <c r="K56" i="1" s="1"/>
  <c r="F73" i="1"/>
  <c r="F25" i="1"/>
  <c r="H13" i="1"/>
  <c r="H73" i="1" s="1"/>
  <c r="B54" i="4"/>
  <c r="B58" i="4"/>
  <c r="B70" i="4"/>
  <c r="O33" i="1"/>
  <c r="O45" i="1" s="1"/>
  <c r="O57" i="1"/>
  <c r="Q57" i="1" s="1"/>
  <c r="L100" i="4"/>
  <c r="M88" i="4"/>
  <c r="E23" i="5"/>
  <c r="E20" i="5"/>
  <c r="O38" i="1"/>
  <c r="O50" i="1" s="1"/>
  <c r="O62" i="1"/>
  <c r="O221" i="1" s="1"/>
  <c r="I60" i="1"/>
  <c r="I36" i="1"/>
  <c r="I48" i="1" s="1"/>
  <c r="O33" i="4" s="1"/>
  <c r="M87" i="4"/>
  <c r="L95" i="4"/>
  <c r="L99" i="4"/>
  <c r="J46" i="4"/>
  <c r="I58" i="4"/>
  <c r="I54" i="4"/>
  <c r="U46" i="4"/>
  <c r="I70" i="4"/>
  <c r="I77" i="4"/>
  <c r="J53" i="4"/>
  <c r="I65" i="4"/>
  <c r="U53" i="4"/>
  <c r="P6" i="4"/>
  <c r="O18" i="4"/>
  <c r="R13" i="4"/>
  <c r="P52" i="4"/>
  <c r="O64" i="4"/>
  <c r="B34" i="4"/>
  <c r="B22" i="4"/>
  <c r="B13" i="4"/>
  <c r="B17" i="4"/>
  <c r="B29" i="4"/>
  <c r="U11" i="4"/>
  <c r="F82" i="1"/>
  <c r="H80" i="1"/>
  <c r="R114" i="4"/>
  <c r="S114" i="4" s="1"/>
  <c r="R65" i="4"/>
  <c r="S53" i="4"/>
  <c r="Q201" i="1"/>
  <c r="M91" i="4"/>
  <c r="L103" i="4"/>
  <c r="F63" i="1"/>
  <c r="F232" i="1" s="1"/>
  <c r="F39" i="1"/>
  <c r="F51" i="1" s="1"/>
  <c r="L118" i="4" s="1"/>
  <c r="F199" i="1"/>
  <c r="H199" i="1" s="1"/>
  <c r="H59" i="1"/>
  <c r="P91" i="4"/>
  <c r="O103" i="4"/>
  <c r="O63" i="4"/>
  <c r="P51" i="4"/>
  <c r="U51" i="4"/>
  <c r="F34" i="1"/>
  <c r="F46" i="1" s="1"/>
  <c r="L72" i="4" s="1"/>
  <c r="F58" i="1"/>
  <c r="H58" i="1" s="1"/>
  <c r="C58" i="1"/>
  <c r="E58" i="1" s="1"/>
  <c r="C34" i="1"/>
  <c r="C46" i="1" s="1"/>
  <c r="I113" i="4" s="1"/>
  <c r="M93" i="4"/>
  <c r="L105" i="4"/>
  <c r="L117" i="4"/>
  <c r="U91" i="4"/>
  <c r="J10" i="4"/>
  <c r="U10" i="4"/>
  <c r="I22" i="4"/>
  <c r="J12" i="4"/>
  <c r="I24" i="4"/>
  <c r="I36" i="4"/>
  <c r="U12" i="4"/>
  <c r="O104" i="4"/>
  <c r="P92" i="4"/>
  <c r="I60" i="4"/>
  <c r="U48" i="4"/>
  <c r="J48" i="4"/>
  <c r="R63" i="4"/>
  <c r="S51" i="4"/>
  <c r="C124" i="1"/>
  <c r="E44" i="1"/>
  <c r="I58" i="1"/>
  <c r="K58" i="1" s="1"/>
  <c r="I34" i="1"/>
  <c r="I46" i="1" s="1"/>
  <c r="O72" i="4" s="1"/>
  <c r="L101" i="4"/>
  <c r="M89" i="4"/>
  <c r="F110" i="1"/>
  <c r="I101" i="4"/>
  <c r="J89" i="4"/>
  <c r="U89" i="4"/>
  <c r="O13" i="4"/>
  <c r="B114" i="4"/>
  <c r="B102" i="4"/>
  <c r="E234" i="1"/>
  <c r="K139" i="1"/>
  <c r="O178" i="1"/>
  <c r="O187" i="1"/>
  <c r="O169" i="1"/>
  <c r="Q148" i="1"/>
  <c r="F32" i="1"/>
  <c r="F44" i="1" s="1"/>
  <c r="F56" i="1"/>
  <c r="H56" i="1" s="1"/>
  <c r="E87" i="1"/>
  <c r="C89" i="1"/>
  <c r="L17" i="4"/>
  <c r="L13" i="4"/>
  <c r="M5" i="4"/>
  <c r="J6" i="4"/>
  <c r="I18" i="4"/>
  <c r="I13" i="4"/>
  <c r="U6" i="4"/>
  <c r="J5" i="4"/>
  <c r="I29" i="4"/>
  <c r="J50" i="4"/>
  <c r="I62" i="4"/>
  <c r="U50" i="4"/>
  <c r="O95" i="4"/>
  <c r="P87" i="4"/>
  <c r="O99" i="4"/>
  <c r="P7" i="4"/>
  <c r="O19" i="4"/>
  <c r="P48" i="4"/>
  <c r="O60" i="4"/>
  <c r="I95" i="4"/>
  <c r="B117" i="4"/>
  <c r="B105" i="4"/>
  <c r="B118" i="4"/>
  <c r="B106" i="4"/>
  <c r="H148" i="1"/>
  <c r="F178" i="1"/>
  <c r="F187" i="1"/>
  <c r="H94" i="1"/>
  <c r="F96" i="1"/>
  <c r="S52" i="4"/>
  <c r="R64" i="4"/>
  <c r="L73" i="4"/>
  <c r="L32" i="4"/>
  <c r="H47" i="1"/>
  <c r="F127" i="1"/>
  <c r="I35" i="1"/>
  <c r="I47" i="1" s="1"/>
  <c r="O73" i="4" s="1"/>
  <c r="I59" i="1"/>
  <c r="Q234" i="1"/>
  <c r="F89" i="1"/>
  <c r="L114" i="4"/>
  <c r="L102" i="4"/>
  <c r="M90" i="4"/>
  <c r="N221" i="1"/>
  <c r="N62" i="1"/>
  <c r="O92" i="5" l="1"/>
  <c r="P92" i="5" s="1"/>
  <c r="Q92" i="5" s="1"/>
  <c r="S21" i="4"/>
  <c r="P100" i="4"/>
  <c r="S59" i="4"/>
  <c r="J111" i="4"/>
  <c r="S24" i="4"/>
  <c r="S62" i="4"/>
  <c r="E80" i="1"/>
  <c r="E45" i="1"/>
  <c r="M63" i="4"/>
  <c r="N48" i="1"/>
  <c r="M24" i="4"/>
  <c r="C96" i="1"/>
  <c r="Q47" i="1"/>
  <c r="C125" i="1"/>
  <c r="I112" i="4"/>
  <c r="J112" i="4" s="1"/>
  <c r="L127" i="1"/>
  <c r="E61" i="1"/>
  <c r="N50" i="1"/>
  <c r="L187" i="1"/>
  <c r="O37" i="1"/>
  <c r="O49" i="1" s="1"/>
  <c r="Q49" i="1" s="1"/>
  <c r="L169" i="1"/>
  <c r="N169" i="1" s="1"/>
  <c r="I71" i="4"/>
  <c r="J71" i="4" s="1"/>
  <c r="L178" i="1"/>
  <c r="N178" i="1" s="1"/>
  <c r="Q63" i="1"/>
  <c r="O81" i="5"/>
  <c r="R117" i="4"/>
  <c r="S117" i="4" s="1"/>
  <c r="R76" i="4"/>
  <c r="S76" i="4" s="1"/>
  <c r="L130" i="1"/>
  <c r="L224" i="1" s="1"/>
  <c r="M19" i="4"/>
  <c r="E51" i="1"/>
  <c r="C131" i="1"/>
  <c r="J99" i="4"/>
  <c r="P103" i="5"/>
  <c r="Q103" i="5" s="1"/>
  <c r="S74" i="4"/>
  <c r="S19" i="4"/>
  <c r="I104" i="5"/>
  <c r="I93" i="5"/>
  <c r="I82" i="5"/>
  <c r="J103" i="4"/>
  <c r="S115" i="4"/>
  <c r="P73" i="4"/>
  <c r="P60" i="4"/>
  <c r="S18" i="4"/>
  <c r="F73" i="3"/>
  <c r="D72" i="3"/>
  <c r="E72" i="3" s="1"/>
  <c r="D70" i="3"/>
  <c r="D71" i="3"/>
  <c r="E71" i="3" s="1"/>
  <c r="U99" i="4"/>
  <c r="P104" i="4"/>
  <c r="R32" i="4"/>
  <c r="S32" i="4" s="1"/>
  <c r="L61" i="1"/>
  <c r="N61" i="1" s="1"/>
  <c r="C221" i="1"/>
  <c r="E221" i="1" s="1"/>
  <c r="S64" i="4"/>
  <c r="S63" i="4"/>
  <c r="P63" i="4"/>
  <c r="S75" i="4"/>
  <c r="S103" i="4"/>
  <c r="S106" i="4"/>
  <c r="P23" i="4"/>
  <c r="P65" i="4"/>
  <c r="S77" i="4"/>
  <c r="P77" i="4"/>
  <c r="S65" i="4"/>
  <c r="P103" i="4"/>
  <c r="P72" i="4"/>
  <c r="S72" i="4"/>
  <c r="S60" i="4"/>
  <c r="S73" i="4"/>
  <c r="P24" i="4"/>
  <c r="P36" i="4"/>
  <c r="P105" i="4"/>
  <c r="P118" i="4"/>
  <c r="P106" i="4"/>
  <c r="S61" i="4"/>
  <c r="P64" i="4"/>
  <c r="S33" i="4"/>
  <c r="P21" i="4"/>
  <c r="P20" i="4"/>
  <c r="P22" i="4"/>
  <c r="P33" i="4"/>
  <c r="P34" i="4"/>
  <c r="S95" i="4"/>
  <c r="O199" i="1"/>
  <c r="Q199" i="1" s="1"/>
  <c r="Q59" i="1"/>
  <c r="L66" i="4"/>
  <c r="R107" i="4"/>
  <c r="M13" i="4"/>
  <c r="U103" i="4"/>
  <c r="I107" i="4"/>
  <c r="M61" i="4"/>
  <c r="O31" i="4"/>
  <c r="P31" i="4" s="1"/>
  <c r="I72" i="4"/>
  <c r="F72" i="4" s="1"/>
  <c r="G72" i="4" s="1"/>
  <c r="R31" i="4"/>
  <c r="S31" i="4" s="1"/>
  <c r="B78" i="4"/>
  <c r="L113" i="4"/>
  <c r="M113" i="4" s="1"/>
  <c r="J23" i="5"/>
  <c r="O116" i="4"/>
  <c r="P116" i="4" s="1"/>
  <c r="O75" i="4"/>
  <c r="P75" i="4" s="1"/>
  <c r="S13" i="4"/>
  <c r="F23" i="4"/>
  <c r="G23" i="4" s="1"/>
  <c r="H23" i="5"/>
  <c r="U20" i="4"/>
  <c r="P18" i="4"/>
  <c r="U21" i="4"/>
  <c r="S71" i="4"/>
  <c r="F20" i="4"/>
  <c r="G20" i="4" s="1"/>
  <c r="P30" i="4"/>
  <c r="F24" i="4"/>
  <c r="G24" i="4" s="1"/>
  <c r="P13" i="4"/>
  <c r="R25" i="4"/>
  <c r="U13" i="4"/>
  <c r="I23" i="5"/>
  <c r="I22" i="5"/>
  <c r="M54" i="4"/>
  <c r="F63" i="4"/>
  <c r="G63" i="4" s="1"/>
  <c r="P54" i="4"/>
  <c r="M72" i="4"/>
  <c r="M118" i="4"/>
  <c r="P35" i="4"/>
  <c r="U35" i="4"/>
  <c r="F35" i="4"/>
  <c r="G35" i="4" s="1"/>
  <c r="M112" i="4"/>
  <c r="Q178" i="1"/>
  <c r="M117" i="4"/>
  <c r="I128" i="1"/>
  <c r="K48" i="1"/>
  <c r="O74" i="4"/>
  <c r="P74" i="4" s="1"/>
  <c r="F18" i="4"/>
  <c r="G18" i="4" s="1"/>
  <c r="M104" i="4"/>
  <c r="F104" i="4"/>
  <c r="G104" i="4" s="1"/>
  <c r="C179" i="1"/>
  <c r="E179" i="1" s="1"/>
  <c r="E125" i="1"/>
  <c r="C149" i="1"/>
  <c r="O82" i="1"/>
  <c r="Q80" i="1"/>
  <c r="B107" i="4"/>
  <c r="O128" i="1"/>
  <c r="Q48" i="1"/>
  <c r="K101" i="1"/>
  <c r="I103" i="1"/>
  <c r="J73" i="4"/>
  <c r="U73" i="4"/>
  <c r="N127" i="1"/>
  <c r="L202" i="1"/>
  <c r="M102" i="4"/>
  <c r="F102" i="4"/>
  <c r="G102" i="4" s="1"/>
  <c r="H178" i="1"/>
  <c r="E124" i="1"/>
  <c r="C140" i="1"/>
  <c r="C170" i="1"/>
  <c r="E170" i="1" s="1"/>
  <c r="U60" i="4"/>
  <c r="J60" i="4"/>
  <c r="U22" i="4"/>
  <c r="J22" i="4"/>
  <c r="F105" i="4"/>
  <c r="G105" i="4" s="1"/>
  <c r="M105" i="4"/>
  <c r="F59" i="4"/>
  <c r="G59" i="4" s="1"/>
  <c r="U54" i="4"/>
  <c r="K60" i="1"/>
  <c r="I210" i="1"/>
  <c r="K210" i="1" s="1"/>
  <c r="O29" i="4"/>
  <c r="K44" i="1"/>
  <c r="I124" i="1"/>
  <c r="O70" i="4"/>
  <c r="C127" i="1"/>
  <c r="E47" i="1"/>
  <c r="I32" i="4"/>
  <c r="Q101" i="1"/>
  <c r="O103" i="1"/>
  <c r="N49" i="1"/>
  <c r="L129" i="1"/>
  <c r="N129" i="1" s="1"/>
  <c r="R34" i="4"/>
  <c r="S34" i="4" s="1"/>
  <c r="R116" i="4"/>
  <c r="S116" i="4" s="1"/>
  <c r="S29" i="4"/>
  <c r="J118" i="4"/>
  <c r="J59" i="4"/>
  <c r="U59" i="4"/>
  <c r="R113" i="4"/>
  <c r="S113" i="4" s="1"/>
  <c r="N46" i="1"/>
  <c r="L126" i="1"/>
  <c r="L188" i="1" s="1"/>
  <c r="N188" i="1" s="1"/>
  <c r="O117" i="4"/>
  <c r="P117" i="4" s="1"/>
  <c r="U105" i="4"/>
  <c r="J105" i="4"/>
  <c r="I89" i="1"/>
  <c r="K87" i="1"/>
  <c r="N124" i="1"/>
  <c r="L170" i="1"/>
  <c r="N170" i="1" s="1"/>
  <c r="L140" i="1"/>
  <c r="F64" i="4"/>
  <c r="G64" i="4" s="1"/>
  <c r="P61" i="4"/>
  <c r="F61" i="4"/>
  <c r="G61" i="4" s="1"/>
  <c r="J61" i="4"/>
  <c r="U61" i="4"/>
  <c r="J22" i="5"/>
  <c r="M114" i="4"/>
  <c r="U62" i="4"/>
  <c r="J62" i="4"/>
  <c r="Q62" i="1"/>
  <c r="Q221" i="1"/>
  <c r="Q124" i="1"/>
  <c r="O140" i="1"/>
  <c r="O170" i="1"/>
  <c r="Q170" i="1" s="1"/>
  <c r="E59" i="1"/>
  <c r="C199" i="1"/>
  <c r="E199" i="1" s="1"/>
  <c r="H44" i="1"/>
  <c r="L70" i="4"/>
  <c r="F124" i="1"/>
  <c r="M101" i="4"/>
  <c r="F101" i="4"/>
  <c r="G101" i="4" s="1"/>
  <c r="R66" i="4"/>
  <c r="S58" i="4"/>
  <c r="F210" i="1"/>
  <c r="H210" i="1" s="1"/>
  <c r="H60" i="1"/>
  <c r="I25" i="4"/>
  <c r="U17" i="4"/>
  <c r="J17" i="4"/>
  <c r="F202" i="1"/>
  <c r="H127" i="1"/>
  <c r="J65" i="4"/>
  <c r="U65" i="4"/>
  <c r="S54" i="4"/>
  <c r="H63" i="1"/>
  <c r="H232" i="1"/>
  <c r="B25" i="4"/>
  <c r="F99" i="4"/>
  <c r="M99" i="4"/>
  <c r="L107" i="4"/>
  <c r="O110" i="1"/>
  <c r="Q108" i="1"/>
  <c r="J64" i="4"/>
  <c r="U64" i="4"/>
  <c r="N63" i="1"/>
  <c r="N232" i="1"/>
  <c r="E178" i="1"/>
  <c r="F22" i="4"/>
  <c r="G22" i="4" s="1"/>
  <c r="M22" i="4"/>
  <c r="H22" i="5"/>
  <c r="E24" i="5"/>
  <c r="R30" i="4"/>
  <c r="S30" i="4" s="1"/>
  <c r="R112" i="4"/>
  <c r="S112" i="4" s="1"/>
  <c r="N45" i="1"/>
  <c r="L125" i="1"/>
  <c r="E60" i="1"/>
  <c r="C210" i="1"/>
  <c r="E210" i="1" s="1"/>
  <c r="K47" i="1"/>
  <c r="I127" i="1"/>
  <c r="O114" i="4"/>
  <c r="P114" i="4" s="1"/>
  <c r="H169" i="1"/>
  <c r="J74" i="4"/>
  <c r="J54" i="4"/>
  <c r="B66" i="4"/>
  <c r="I130" i="1"/>
  <c r="I224" i="1" s="1"/>
  <c r="K50" i="1"/>
  <c r="I82" i="1"/>
  <c r="K80" i="1"/>
  <c r="S111" i="4"/>
  <c r="M115" i="4"/>
  <c r="C225" i="1"/>
  <c r="E224" i="1"/>
  <c r="K221" i="1"/>
  <c r="K62" i="1"/>
  <c r="I125" i="1"/>
  <c r="K45" i="1"/>
  <c r="O71" i="4"/>
  <c r="P71" i="4" s="1"/>
  <c r="O112" i="4"/>
  <c r="P112" i="4" s="1"/>
  <c r="U23" i="4"/>
  <c r="O107" i="4"/>
  <c r="P99" i="4"/>
  <c r="L29" i="4"/>
  <c r="F65" i="4"/>
  <c r="G65" i="4" s="1"/>
  <c r="U104" i="4"/>
  <c r="M32" i="4"/>
  <c r="U63" i="4"/>
  <c r="U95" i="4"/>
  <c r="O111" i="4"/>
  <c r="J13" i="4"/>
  <c r="Q169" i="1"/>
  <c r="K46" i="1"/>
  <c r="I126" i="1"/>
  <c r="I188" i="1" s="1"/>
  <c r="O113" i="4"/>
  <c r="P113" i="4" s="1"/>
  <c r="J36" i="4"/>
  <c r="J77" i="4"/>
  <c r="Q45" i="1"/>
  <c r="O125" i="1"/>
  <c r="F61" i="1"/>
  <c r="H61" i="1" s="1"/>
  <c r="F37" i="1"/>
  <c r="F49" i="1" s="1"/>
  <c r="O96" i="1"/>
  <c r="Q94" i="1"/>
  <c r="I114" i="4"/>
  <c r="O126" i="1"/>
  <c r="O188" i="1" s="1"/>
  <c r="Q188" i="1" s="1"/>
  <c r="Q46" i="1"/>
  <c r="O32" i="4"/>
  <c r="P32" i="4" s="1"/>
  <c r="J117" i="4"/>
  <c r="F106" i="4"/>
  <c r="G106" i="4" s="1"/>
  <c r="M106" i="4"/>
  <c r="H130" i="1"/>
  <c r="E187" i="1"/>
  <c r="J95" i="4"/>
  <c r="F24" i="5"/>
  <c r="I199" i="1"/>
  <c r="K199" i="1" s="1"/>
  <c r="K59" i="1"/>
  <c r="U18" i="4"/>
  <c r="J18" i="4"/>
  <c r="H46" i="1"/>
  <c r="F126" i="1"/>
  <c r="F188" i="1" s="1"/>
  <c r="H188" i="1" s="1"/>
  <c r="L31" i="4"/>
  <c r="U58" i="4"/>
  <c r="I66" i="4"/>
  <c r="J58" i="4"/>
  <c r="M100" i="4"/>
  <c r="F100" i="4"/>
  <c r="G100" i="4" s="1"/>
  <c r="S70" i="4"/>
  <c r="J106" i="4"/>
  <c r="U106" i="4"/>
  <c r="I96" i="1"/>
  <c r="K94" i="1"/>
  <c r="P19" i="4"/>
  <c r="U19" i="4"/>
  <c r="F19" i="4"/>
  <c r="G19" i="4" s="1"/>
  <c r="F103" i="4"/>
  <c r="G103" i="4" s="1"/>
  <c r="M103" i="4"/>
  <c r="F62" i="4"/>
  <c r="G62" i="4" s="1"/>
  <c r="Q50" i="1"/>
  <c r="O130" i="1"/>
  <c r="O224" i="1" s="1"/>
  <c r="O129" i="1"/>
  <c r="Q129" i="1" s="1"/>
  <c r="J76" i="4"/>
  <c r="I33" i="4"/>
  <c r="C128" i="1"/>
  <c r="E48" i="1"/>
  <c r="I115" i="4"/>
  <c r="N128" i="1"/>
  <c r="L213" i="1"/>
  <c r="J113" i="4"/>
  <c r="L36" i="4"/>
  <c r="F131" i="1"/>
  <c r="F235" i="1" s="1"/>
  <c r="H51" i="1"/>
  <c r="L77" i="4"/>
  <c r="U77" i="4" s="1"/>
  <c r="B37" i="4"/>
  <c r="O76" i="4"/>
  <c r="P76" i="4" s="1"/>
  <c r="L111" i="4"/>
  <c r="F58" i="4"/>
  <c r="F60" i="4"/>
  <c r="G60" i="4" s="1"/>
  <c r="M60" i="4"/>
  <c r="L74" i="4"/>
  <c r="H48" i="1"/>
  <c r="F128" i="1"/>
  <c r="L33" i="4"/>
  <c r="Q131" i="1"/>
  <c r="R118" i="4"/>
  <c r="S118" i="4" s="1"/>
  <c r="N51" i="1"/>
  <c r="L131" i="1"/>
  <c r="L235" i="1" s="1"/>
  <c r="R36" i="4"/>
  <c r="S36" i="4" s="1"/>
  <c r="L30" i="4"/>
  <c r="F125" i="1"/>
  <c r="H45" i="1"/>
  <c r="L71" i="4"/>
  <c r="E169" i="1"/>
  <c r="O66" i="4"/>
  <c r="J29" i="4"/>
  <c r="U101" i="4"/>
  <c r="J101" i="4"/>
  <c r="F21" i="4"/>
  <c r="G21" i="4" s="1"/>
  <c r="M73" i="4"/>
  <c r="F73" i="4"/>
  <c r="G73" i="4" s="1"/>
  <c r="H187" i="1"/>
  <c r="P95" i="4"/>
  <c r="J30" i="4"/>
  <c r="M17" i="4"/>
  <c r="F17" i="4"/>
  <c r="L25" i="4"/>
  <c r="Q187" i="1"/>
  <c r="J24" i="4"/>
  <c r="U24" i="4"/>
  <c r="I31" i="4"/>
  <c r="C126" i="1"/>
  <c r="C188" i="1" s="1"/>
  <c r="E46" i="1"/>
  <c r="O115" i="4"/>
  <c r="P115" i="4" s="1"/>
  <c r="J70" i="4"/>
  <c r="M95" i="4"/>
  <c r="Q87" i="1"/>
  <c r="O89" i="1"/>
  <c r="O25" i="4"/>
  <c r="J102" i="4"/>
  <c r="U102" i="4"/>
  <c r="K49" i="1"/>
  <c r="I129" i="1"/>
  <c r="K129" i="1" s="1"/>
  <c r="B119" i="4"/>
  <c r="O202" i="1"/>
  <c r="Q127" i="1"/>
  <c r="O210" i="1"/>
  <c r="Q210" i="1" s="1"/>
  <c r="Q60" i="1"/>
  <c r="I110" i="1"/>
  <c r="K108" i="1"/>
  <c r="M76" i="4"/>
  <c r="J100" i="4"/>
  <c r="U100" i="4"/>
  <c r="G24" i="5"/>
  <c r="K131" i="1"/>
  <c r="E26" i="5" l="1"/>
  <c r="E27" i="5" s="1"/>
  <c r="D16" i="3" s="1"/>
  <c r="L189" i="1"/>
  <c r="I34" i="4"/>
  <c r="J34" i="4" s="1"/>
  <c r="I75" i="4"/>
  <c r="J75" i="4" s="1"/>
  <c r="C129" i="1"/>
  <c r="E129" i="1" s="1"/>
  <c r="I116" i="4"/>
  <c r="J116" i="4" s="1"/>
  <c r="E49" i="1"/>
  <c r="G26" i="5"/>
  <c r="N187" i="1"/>
  <c r="R78" i="4"/>
  <c r="F26" i="5"/>
  <c r="N130" i="1"/>
  <c r="E131" i="1"/>
  <c r="C235" i="1"/>
  <c r="F72" i="3"/>
  <c r="J72" i="4"/>
  <c r="F71" i="3"/>
  <c r="F70" i="3"/>
  <c r="E70" i="3"/>
  <c r="U72" i="4"/>
  <c r="C180" i="1"/>
  <c r="E180" i="1" s="1"/>
  <c r="F189" i="1"/>
  <c r="H189" i="1" s="1"/>
  <c r="F113" i="4"/>
  <c r="G113" i="4" s="1"/>
  <c r="U30" i="4"/>
  <c r="U107" i="4"/>
  <c r="O171" i="1"/>
  <c r="O173" i="1" s="1"/>
  <c r="Q173" i="1" s="1"/>
  <c r="U117" i="4"/>
  <c r="L171" i="1"/>
  <c r="L173" i="1" s="1"/>
  <c r="N173" i="1" s="1"/>
  <c r="F112" i="4"/>
  <c r="G112" i="4" s="1"/>
  <c r="F76" i="4"/>
  <c r="G76" i="4" s="1"/>
  <c r="U118" i="4"/>
  <c r="U29" i="4"/>
  <c r="F32" i="4"/>
  <c r="G32" i="4" s="1"/>
  <c r="U25" i="4"/>
  <c r="U76" i="4"/>
  <c r="U70" i="4"/>
  <c r="G36" i="5"/>
  <c r="J24" i="5"/>
  <c r="H131" i="1"/>
  <c r="C213" i="1"/>
  <c r="E128" i="1"/>
  <c r="Q130" i="1"/>
  <c r="O149" i="1"/>
  <c r="O179" i="1"/>
  <c r="Q125" i="1"/>
  <c r="C227" i="1"/>
  <c r="E227" i="1" s="1"/>
  <c r="E225" i="1"/>
  <c r="I140" i="1"/>
  <c r="I170" i="1"/>
  <c r="K124" i="1"/>
  <c r="C141" i="1"/>
  <c r="E140" i="1"/>
  <c r="F149" i="1"/>
  <c r="H125" i="1"/>
  <c r="F179" i="1"/>
  <c r="F36" i="4"/>
  <c r="G36" i="4" s="1"/>
  <c r="M36" i="4"/>
  <c r="U33" i="4"/>
  <c r="J33" i="4"/>
  <c r="U66" i="4"/>
  <c r="I158" i="1"/>
  <c r="K126" i="1"/>
  <c r="F115" i="4"/>
  <c r="G115" i="4" s="1"/>
  <c r="F140" i="1"/>
  <c r="F170" i="1"/>
  <c r="H124" i="1"/>
  <c r="Q140" i="1"/>
  <c r="O141" i="1"/>
  <c r="P70" i="4"/>
  <c r="O78" i="4"/>
  <c r="N202" i="1"/>
  <c r="L203" i="1"/>
  <c r="F30" i="4"/>
  <c r="G30" i="4" s="1"/>
  <c r="M30" i="4"/>
  <c r="F66" i="4"/>
  <c r="G58" i="4"/>
  <c r="H224" i="1"/>
  <c r="F225" i="1"/>
  <c r="O158" i="1"/>
  <c r="Q126" i="1"/>
  <c r="K130" i="1"/>
  <c r="E36" i="5"/>
  <c r="H24" i="5"/>
  <c r="O189" i="1"/>
  <c r="U113" i="4"/>
  <c r="U114" i="4"/>
  <c r="J114" i="4"/>
  <c r="N131" i="1"/>
  <c r="M33" i="4"/>
  <c r="F33" i="4"/>
  <c r="G33" i="4" s="1"/>
  <c r="N213" i="1"/>
  <c r="L214" i="1"/>
  <c r="M31" i="4"/>
  <c r="F31" i="4"/>
  <c r="G31" i="4" s="1"/>
  <c r="K125" i="1"/>
  <c r="I149" i="1"/>
  <c r="I179" i="1"/>
  <c r="G99" i="4"/>
  <c r="F107" i="4"/>
  <c r="U32" i="4"/>
  <c r="J32" i="4"/>
  <c r="F117" i="4"/>
  <c r="G117" i="4" s="1"/>
  <c r="J31" i="4"/>
  <c r="U31" i="4"/>
  <c r="Q235" i="1"/>
  <c r="O236" i="1"/>
  <c r="G17" i="4"/>
  <c r="F25" i="4"/>
  <c r="C171" i="1"/>
  <c r="F213" i="1"/>
  <c r="H128" i="1"/>
  <c r="L191" i="1"/>
  <c r="N191" i="1" s="1"/>
  <c r="N189" i="1"/>
  <c r="F158" i="1"/>
  <c r="H126" i="1"/>
  <c r="U36" i="4"/>
  <c r="F29" i="4"/>
  <c r="M29" i="4"/>
  <c r="F203" i="1"/>
  <c r="H202" i="1"/>
  <c r="N140" i="1"/>
  <c r="L141" i="1"/>
  <c r="N126" i="1"/>
  <c r="L158" i="1"/>
  <c r="R37" i="4"/>
  <c r="F118" i="4"/>
  <c r="G118" i="4" s="1"/>
  <c r="M71" i="4"/>
  <c r="F71" i="4"/>
  <c r="G71" i="4" s="1"/>
  <c r="M74" i="4"/>
  <c r="F74" i="4"/>
  <c r="G74" i="4" s="1"/>
  <c r="I37" i="4"/>
  <c r="I202" i="1"/>
  <c r="K127" i="1"/>
  <c r="F70" i="4"/>
  <c r="M70" i="4"/>
  <c r="P29" i="4"/>
  <c r="O37" i="4"/>
  <c r="E149" i="1"/>
  <c r="C150" i="1"/>
  <c r="I213" i="1"/>
  <c r="K128" i="1"/>
  <c r="Q202" i="1"/>
  <c r="O203" i="1"/>
  <c r="N224" i="1"/>
  <c r="L225" i="1"/>
  <c r="M111" i="4"/>
  <c r="F111" i="4"/>
  <c r="U111" i="4"/>
  <c r="K235" i="1"/>
  <c r="I236" i="1"/>
  <c r="U71" i="4"/>
  <c r="E126" i="1"/>
  <c r="C158" i="1"/>
  <c r="F77" i="4"/>
  <c r="G77" i="4" s="1"/>
  <c r="M77" i="4"/>
  <c r="J115" i="4"/>
  <c r="U115" i="4"/>
  <c r="F36" i="5"/>
  <c r="I24" i="5"/>
  <c r="L75" i="4"/>
  <c r="L78" i="4" s="1"/>
  <c r="H49" i="1"/>
  <c r="F129" i="1"/>
  <c r="H129" i="1" s="1"/>
  <c r="L116" i="4"/>
  <c r="L34" i="4"/>
  <c r="P111" i="4"/>
  <c r="O119" i="4"/>
  <c r="R119" i="4"/>
  <c r="U74" i="4"/>
  <c r="L149" i="1"/>
  <c r="N125" i="1"/>
  <c r="L179" i="1"/>
  <c r="U112" i="4"/>
  <c r="F114" i="4"/>
  <c r="G114" i="4" s="1"/>
  <c r="E127" i="1"/>
  <c r="C202" i="1"/>
  <c r="O213" i="1"/>
  <c r="Q128" i="1"/>
  <c r="I119" i="4" l="1"/>
  <c r="I78" i="4"/>
  <c r="U78" i="4" s="1"/>
  <c r="C182" i="1"/>
  <c r="E182" i="1" s="1"/>
  <c r="E235" i="1"/>
  <c r="C236" i="1"/>
  <c r="F191" i="1"/>
  <c r="H191" i="1" s="1"/>
  <c r="Q171" i="1"/>
  <c r="N171" i="1"/>
  <c r="H26" i="5"/>
  <c r="H27" i="5"/>
  <c r="I26" i="5"/>
  <c r="F27" i="5"/>
  <c r="I27" i="5" s="1"/>
  <c r="F34" i="4"/>
  <c r="G34" i="4" s="1"/>
  <c r="M34" i="4"/>
  <c r="U34" i="4"/>
  <c r="J36" i="5"/>
  <c r="F116" i="4"/>
  <c r="G116" i="4" s="1"/>
  <c r="M116" i="4"/>
  <c r="U116" i="4"/>
  <c r="I36" i="5"/>
  <c r="K236" i="1"/>
  <c r="I238" i="1"/>
  <c r="K238" i="1" s="1"/>
  <c r="Q203" i="1"/>
  <c r="O205" i="1"/>
  <c r="Q205" i="1" s="1"/>
  <c r="L143" i="1"/>
  <c r="N143" i="1" s="1"/>
  <c r="N141" i="1"/>
  <c r="G25" i="4"/>
  <c r="E30" i="5"/>
  <c r="N235" i="1"/>
  <c r="L236" i="1"/>
  <c r="H36" i="5"/>
  <c r="F30" i="5"/>
  <c r="G66" i="4"/>
  <c r="K158" i="1"/>
  <c r="I159" i="1"/>
  <c r="H179" i="1"/>
  <c r="F180" i="1"/>
  <c r="Q213" i="1"/>
  <c r="O214" i="1"/>
  <c r="N149" i="1"/>
  <c r="L150" i="1"/>
  <c r="K224" i="1"/>
  <c r="I225" i="1"/>
  <c r="Q141" i="1"/>
  <c r="O143" i="1"/>
  <c r="Q143" i="1" s="1"/>
  <c r="N179" i="1"/>
  <c r="L180" i="1"/>
  <c r="E213" i="1"/>
  <c r="C214" i="1"/>
  <c r="F75" i="4"/>
  <c r="G75" i="4" s="1"/>
  <c r="M75" i="4"/>
  <c r="U75" i="4"/>
  <c r="G111" i="4"/>
  <c r="L119" i="4"/>
  <c r="E150" i="1"/>
  <c r="C152" i="1"/>
  <c r="E152" i="1" s="1"/>
  <c r="K188" i="1"/>
  <c r="I189" i="1"/>
  <c r="L37" i="4"/>
  <c r="U37" i="4" s="1"/>
  <c r="Q236" i="1"/>
  <c r="O238" i="1"/>
  <c r="Q238" i="1" s="1"/>
  <c r="N214" i="1"/>
  <c r="L216" i="1"/>
  <c r="N216" i="1" s="1"/>
  <c r="Q158" i="1"/>
  <c r="O159" i="1"/>
  <c r="H170" i="1"/>
  <c r="F171" i="1"/>
  <c r="C143" i="1"/>
  <c r="E143" i="1" s="1"/>
  <c r="E141" i="1"/>
  <c r="Q224" i="1"/>
  <c r="O225" i="1"/>
  <c r="E188" i="1"/>
  <c r="C189" i="1"/>
  <c r="G70" i="4"/>
  <c r="H149" i="1"/>
  <c r="F150" i="1"/>
  <c r="E202" i="1"/>
  <c r="C203" i="1"/>
  <c r="K213" i="1"/>
  <c r="I214" i="1"/>
  <c r="H203" i="1"/>
  <c r="F205" i="1"/>
  <c r="H205" i="1" s="1"/>
  <c r="G107" i="4"/>
  <c r="G30" i="5"/>
  <c r="H235" i="1"/>
  <c r="F236" i="1"/>
  <c r="E158" i="1"/>
  <c r="C159" i="1"/>
  <c r="K202" i="1"/>
  <c r="I203" i="1"/>
  <c r="I180" i="1"/>
  <c r="K179" i="1"/>
  <c r="Q189" i="1"/>
  <c r="O191" i="1"/>
  <c r="Q191" i="1" s="1"/>
  <c r="H225" i="1"/>
  <c r="F227" i="1"/>
  <c r="H227" i="1" s="1"/>
  <c r="N203" i="1"/>
  <c r="L205" i="1"/>
  <c r="N205" i="1" s="1"/>
  <c r="H140" i="1"/>
  <c r="F141" i="1"/>
  <c r="Q179" i="1"/>
  <c r="O180" i="1"/>
  <c r="C173" i="1"/>
  <c r="E173" i="1" s="1"/>
  <c r="E171" i="1"/>
  <c r="K140" i="1"/>
  <c r="I141" i="1"/>
  <c r="H158" i="1"/>
  <c r="F159" i="1"/>
  <c r="J26" i="5"/>
  <c r="G27" i="5"/>
  <c r="N225" i="1"/>
  <c r="L227" i="1"/>
  <c r="N227" i="1" s="1"/>
  <c r="N158" i="1"/>
  <c r="L159" i="1"/>
  <c r="G29" i="4"/>
  <c r="H213" i="1"/>
  <c r="F214" i="1"/>
  <c r="K149" i="1"/>
  <c r="I150" i="1"/>
  <c r="E28" i="5"/>
  <c r="K170" i="1"/>
  <c r="I171" i="1"/>
  <c r="Q149" i="1"/>
  <c r="O150" i="1"/>
  <c r="U119" i="4" l="1"/>
  <c r="E236" i="1"/>
  <c r="C238" i="1"/>
  <c r="E238" i="1" s="1"/>
  <c r="F78" i="4"/>
  <c r="G78" i="4" s="1"/>
  <c r="E45" i="5"/>
  <c r="G39" i="5"/>
  <c r="J39" i="5" s="1"/>
  <c r="F39" i="5"/>
  <c r="I39" i="5" s="1"/>
  <c r="F37" i="4"/>
  <c r="G37" i="4" s="1"/>
  <c r="E39" i="5"/>
  <c r="F28" i="5"/>
  <c r="F45" i="5" s="1"/>
  <c r="H28" i="5"/>
  <c r="K180" i="1"/>
  <c r="I182" i="1"/>
  <c r="K182" i="1" s="1"/>
  <c r="H150" i="1"/>
  <c r="F152" i="1"/>
  <c r="F119" i="4"/>
  <c r="I152" i="1"/>
  <c r="K152" i="1" s="1"/>
  <c r="K150" i="1"/>
  <c r="K141" i="1"/>
  <c r="I143" i="1"/>
  <c r="K143" i="1" s="1"/>
  <c r="K203" i="1"/>
  <c r="I205" i="1"/>
  <c r="K205" i="1" s="1"/>
  <c r="H180" i="1"/>
  <c r="F182" i="1"/>
  <c r="F173" i="1"/>
  <c r="H173" i="1" s="1"/>
  <c r="H171" i="1"/>
  <c r="L238" i="1"/>
  <c r="N238" i="1" s="1"/>
  <c r="N236" i="1"/>
  <c r="K189" i="1"/>
  <c r="I191" i="1"/>
  <c r="K191" i="1" s="1"/>
  <c r="K159" i="1"/>
  <c r="I161" i="1"/>
  <c r="K161" i="1" s="1"/>
  <c r="K214" i="1"/>
  <c r="I216" i="1"/>
  <c r="K216" i="1" s="1"/>
  <c r="H30" i="5"/>
  <c r="J27" i="5"/>
  <c r="G28" i="5"/>
  <c r="G45" i="5" s="1"/>
  <c r="Q180" i="1"/>
  <c r="O182" i="1"/>
  <c r="Q182" i="1" s="1"/>
  <c r="F238" i="1"/>
  <c r="H238" i="1" s="1"/>
  <c r="H236" i="1"/>
  <c r="E214" i="1"/>
  <c r="C216" i="1"/>
  <c r="E216" i="1" s="1"/>
  <c r="L152" i="1"/>
  <c r="N152" i="1" s="1"/>
  <c r="N150" i="1"/>
  <c r="K225" i="1"/>
  <c r="I227" i="1"/>
  <c r="K227" i="1" s="1"/>
  <c r="Q150" i="1"/>
  <c r="O152" i="1"/>
  <c r="Q152" i="1" s="1"/>
  <c r="E189" i="1"/>
  <c r="C191" i="1"/>
  <c r="E191" i="1" s="1"/>
  <c r="Q159" i="1"/>
  <c r="O161" i="1"/>
  <c r="Q161" i="1" s="1"/>
  <c r="K171" i="1"/>
  <c r="I173" i="1"/>
  <c r="K173" i="1" s="1"/>
  <c r="E203" i="1"/>
  <c r="C205" i="1"/>
  <c r="E205" i="1" s="1"/>
  <c r="O227" i="1"/>
  <c r="Q227" i="1" s="1"/>
  <c r="Q225" i="1"/>
  <c r="I30" i="5"/>
  <c r="F216" i="1"/>
  <c r="H216" i="1" s="1"/>
  <c r="H214" i="1"/>
  <c r="E159" i="1"/>
  <c r="C161" i="1"/>
  <c r="E161" i="1" s="1"/>
  <c r="N159" i="1"/>
  <c r="L161" i="1"/>
  <c r="N161" i="1" s="1"/>
  <c r="H159" i="1"/>
  <c r="F161" i="1"/>
  <c r="H161" i="1" s="1"/>
  <c r="F143" i="1"/>
  <c r="H143" i="1" s="1"/>
  <c r="H141" i="1"/>
  <c r="J30" i="5"/>
  <c r="L182" i="1"/>
  <c r="N182" i="1" s="1"/>
  <c r="N180" i="1"/>
  <c r="O216" i="1"/>
  <c r="Q216" i="1" s="1"/>
  <c r="Q214" i="1"/>
  <c r="F80" i="4" l="1"/>
  <c r="F32" i="5" s="1"/>
  <c r="F42" i="5" s="1"/>
  <c r="I42" i="5" s="1"/>
  <c r="F39" i="4"/>
  <c r="E32" i="5" s="1"/>
  <c r="I28" i="5"/>
  <c r="H39" i="5"/>
  <c r="H182" i="1"/>
  <c r="G119" i="4"/>
  <c r="F121" i="4"/>
  <c r="J28" i="5"/>
  <c r="H152" i="1"/>
  <c r="F34" i="5" l="1"/>
  <c r="F46" i="5"/>
  <c r="F44" i="5"/>
  <c r="E42" i="5"/>
  <c r="E43" i="5" s="1"/>
  <c r="E44" i="5"/>
  <c r="E34" i="5"/>
  <c r="G32" i="5"/>
  <c r="I32" i="5"/>
  <c r="H32" i="5"/>
  <c r="E46" i="5"/>
  <c r="G44" i="5" l="1"/>
  <c r="G46" i="5"/>
  <c r="H42" i="5"/>
  <c r="G42" i="5"/>
  <c r="G43" i="5" s="1"/>
  <c r="G34" i="5"/>
  <c r="J32" i="5"/>
  <c r="F43" i="5"/>
  <c r="P81" i="5"/>
  <c r="Q81" i="5" s="1"/>
</calcChain>
</file>

<file path=xl/sharedStrings.xml><?xml version="1.0" encoding="utf-8"?>
<sst xmlns="http://schemas.openxmlformats.org/spreadsheetml/2006/main" count="1010" uniqueCount="137">
  <si>
    <t>Net Operating Income per unit by type (rent - operating expenses, vacancy and cap-x)</t>
  </si>
  <si>
    <t>per unit per month (not including taxes)</t>
  </si>
  <si>
    <t>Rent</t>
  </si>
  <si>
    <t>State cash flow</t>
    <phoneticPr fontId="13" type="noConversion"/>
  </si>
  <si>
    <t>State ROI on Loan</t>
    <phoneticPr fontId="13" type="noConversion"/>
  </si>
  <si>
    <t xml:space="preserve">Overall </t>
    <phoneticPr fontId="13" type="noConversion"/>
  </si>
  <si>
    <t>Assumptions - Subsidy Analysis</t>
  </si>
  <si>
    <t>Assumptions - Development Analysis</t>
  </si>
  <si>
    <t>Scenario 1</t>
  </si>
  <si>
    <t>Scenario 2</t>
  </si>
  <si>
    <t>Scenario 3</t>
  </si>
  <si>
    <t>LIHTC 9%</t>
  </si>
  <si>
    <t>LIHTC 4%</t>
  </si>
  <si>
    <t>ROI***</t>
    <phoneticPr fontId="13" type="noConversion"/>
  </si>
  <si>
    <t>State Subsidy+ Equity</t>
    <phoneticPr fontId="13" type="noConversion"/>
  </si>
  <si>
    <t>Qualified Census Track</t>
  </si>
  <si>
    <t>No</t>
  </si>
  <si>
    <t>Yes</t>
  </si>
  <si>
    <t>Expenses</t>
  </si>
  <si>
    <t>Revenue</t>
  </si>
  <si>
    <t>(No Tax Credits Included)</t>
  </si>
  <si>
    <t>TOTAL SUBSIDY (EQUITY)</t>
  </si>
  <si>
    <t>Debt Service</t>
  </si>
  <si>
    <t>Cash Flow</t>
  </si>
  <si>
    <t>Max Debt</t>
  </si>
  <si>
    <t>ROI (Cash Flow)</t>
  </si>
  <si>
    <t>Per Unit</t>
  </si>
  <si>
    <t>Cost to Value</t>
  </si>
  <si>
    <t>Build Cost *</t>
  </si>
  <si>
    <t>ROI **</t>
  </si>
  <si>
    <t>HHFDC rents</t>
  </si>
  <si>
    <t># Units</t>
  </si>
  <si>
    <t>Per Unit Cost</t>
  </si>
  <si>
    <t>Debt Service Interest</t>
  </si>
  <si>
    <t>Debt Service Interest (mortgage amount per each unit type that can be supported)</t>
  </si>
  <si>
    <t xml:space="preserve">﻿ 30% of Median </t>
  </si>
  <si>
    <t xml:space="preserve"> 50% of Median </t>
  </si>
  <si>
    <t xml:space="preserve"> 60% of Median </t>
  </si>
  <si>
    <t xml:space="preserve"> 80% of Median </t>
  </si>
  <si>
    <t xml:space="preserve"> 100% of Median </t>
  </si>
  <si>
    <t xml:space="preserve"> 120% of Median </t>
  </si>
  <si>
    <t xml:space="preserve">140% of Median </t>
  </si>
  <si>
    <t>Total Cost to Build (SF)</t>
  </si>
  <si>
    <t>Total Development cost</t>
  </si>
  <si>
    <t>Rehab cost</t>
  </si>
  <si>
    <t xml:space="preserve">Aquisition cost </t>
  </si>
  <si>
    <t>Other cost</t>
  </si>
  <si>
    <t xml:space="preserve"> Development cost</t>
  </si>
  <si>
    <t>%</t>
  </si>
  <si>
    <t xml:space="preserve"> % Studio</t>
  </si>
  <si>
    <t xml:space="preserve">Proposed development with --- units with different affordable mix </t>
  </si>
  <si>
    <t xml:space="preserve">Proposed development with----  units with different affordable mix </t>
  </si>
  <si>
    <t>Total sf</t>
  </si>
  <si>
    <t xml:space="preserve"> </t>
  </si>
  <si>
    <t>Total</t>
  </si>
  <si>
    <t>AMI</t>
  </si>
  <si>
    <t>percent</t>
  </si>
  <si>
    <t>Loan amount for development mix</t>
  </si>
  <si>
    <t>Number units</t>
  </si>
  <si>
    <t>total units</t>
  </si>
  <si>
    <t>Loan</t>
  </si>
  <si>
    <t>Cap Rate</t>
  </si>
  <si>
    <t>LIHTC</t>
  </si>
  <si>
    <t>RHTF NEEDED</t>
  </si>
  <si>
    <t xml:space="preserve">Cost </t>
  </si>
  <si>
    <t>EQUITY</t>
  </si>
  <si>
    <t>Value</t>
  </si>
  <si>
    <t xml:space="preserve">Market value </t>
  </si>
  <si>
    <t>Affordable rents by AMI for different unit sizes.</t>
  </si>
  <si>
    <t>Square Footage</t>
  </si>
  <si>
    <t>Studio</t>
  </si>
  <si>
    <t>1 Bedroom</t>
  </si>
  <si>
    <t>2 Bedroom</t>
  </si>
  <si>
    <t>3 Bedroom</t>
  </si>
  <si>
    <t>4 Bedroom</t>
  </si>
  <si>
    <t>Debt Coverage Ratio</t>
  </si>
  <si>
    <t>Analysis</t>
  </si>
  <si>
    <t>Required Subsidy for Developing Affordable Housing</t>
  </si>
  <si>
    <t xml:space="preserve"> </t>
    <phoneticPr fontId="2" type="noConversion"/>
  </si>
  <si>
    <t>Unit Count</t>
  </si>
  <si>
    <t>Total Units</t>
  </si>
  <si>
    <t>% 1 Bedroom</t>
  </si>
  <si>
    <t>% 2 Bedroom</t>
  </si>
  <si>
    <t>% 3 Bedroom</t>
  </si>
  <si>
    <t>Rent/SF</t>
  </si>
  <si>
    <t>NOI</t>
  </si>
  <si>
    <t>Debt Service Coverage Ratio (DSCR)</t>
  </si>
  <si>
    <t>$</t>
  </si>
  <si>
    <t>$/SF</t>
  </si>
  <si>
    <t>Market value per unit by type (capitilization rate)</t>
  </si>
  <si>
    <t>Affordable rent comparison by AMI for different unit types</t>
  </si>
  <si>
    <t>Difference between rent for 120% AMI and 30% AMI by type of unit</t>
  </si>
  <si>
    <t>Difference between rent for 120% AMI and 50% AMI by type of unit</t>
  </si>
  <si>
    <t>Difference between rent for 120% AMI and 60% AMI by type of unit</t>
  </si>
  <si>
    <t>Difference between rent for 120% AMI and 80% AMI by type of unit</t>
  </si>
  <si>
    <t>Difference between rent for 120% AMI and100% AMI by type of unit</t>
  </si>
  <si>
    <t>Difference</t>
  </si>
  <si>
    <t>Loan Subsidy Analysis</t>
  </si>
  <si>
    <t>Build Costs</t>
  </si>
  <si>
    <t>Total Cost</t>
  </si>
  <si>
    <t>Cost/SF</t>
  </si>
  <si>
    <t>Mortgage</t>
  </si>
  <si>
    <t>Supported mortgage by unit type</t>
  </si>
  <si>
    <t>LIHTC UNITS - 9%</t>
  </si>
  <si>
    <t>LIHTC UNITS - 4%</t>
  </si>
  <si>
    <t>Deficit between cost for unit and loan for 30% AMI by type of unit</t>
  </si>
  <si>
    <t>Deficit between cost for unit and loan for 50% AMI by type of unit</t>
  </si>
  <si>
    <t>Deficit between cost for unit and loan for 60% AMI by type of unit</t>
  </si>
  <si>
    <t>Deficit</t>
  </si>
  <si>
    <t>Deficit between cost for unit and loan for 80% AMI by type of unit</t>
  </si>
  <si>
    <t>Deficit between cost for unit and loan for 100% AMI by type of unit</t>
  </si>
  <si>
    <t>Deficit between cost for unit and loan for 120% AMI by type of unit</t>
  </si>
  <si>
    <t>Deficit between cost for unit and loan for 140% AMI by type of unit</t>
  </si>
  <si>
    <t>Non-qualifying LIHTC units</t>
  </si>
  <si>
    <t>SF</t>
  </si>
  <si>
    <t>Total SF</t>
  </si>
  <si>
    <t>Unit Breakdown</t>
  </si>
  <si>
    <t>Total $</t>
  </si>
  <si>
    <t>Total $/SF</t>
  </si>
  <si>
    <t>Rent Per SF</t>
  </si>
  <si>
    <t>Square Feet</t>
  </si>
  <si>
    <t>Per SF</t>
  </si>
  <si>
    <t>Debt Service Constant</t>
  </si>
  <si>
    <t>Vacancy</t>
  </si>
  <si>
    <t xml:space="preserve"> Expenses</t>
  </si>
  <si>
    <t>Operating Expenses+ Vacancy</t>
  </si>
  <si>
    <t>9% LIHTC</t>
  </si>
  <si>
    <t>4% LIHTC</t>
  </si>
  <si>
    <t>Build cost for development mix</t>
  </si>
  <si>
    <t>Total $/Unit</t>
  </si>
  <si>
    <t>TOTAL</t>
  </si>
  <si>
    <t xml:space="preserve">TOTAL   </t>
  </si>
  <si>
    <t>Cash Required State</t>
  </si>
  <si>
    <t>NOTES:</t>
    <phoneticPr fontId="13" type="noConversion"/>
  </si>
  <si>
    <t>Check box for tax credit</t>
  </si>
  <si>
    <t xml:space="preserve"> Subsidy Loan or Equity to loan: Cash required </t>
  </si>
  <si>
    <t>110% of 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</si>
</sst>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  <numFmt numFmtId="167" formatCode="#,##0.00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89">
    <xf numFmtId="0" fontId="0" fillId="0" borderId="0" xfId="0"/>
    <xf numFmtId="0" fontId="0" fillId="0" borderId="0" xfId="0" applyFill="1"/>
    <xf numFmtId="164" fontId="0" fillId="0" borderId="0" xfId="0" applyNumberFormat="1" applyFill="1"/>
    <xf numFmtId="4" fontId="0" fillId="0" borderId="0" xfId="0" applyNumberFormat="1" applyFill="1"/>
    <xf numFmtId="0" fontId="3" fillId="0" borderId="0" xfId="0" applyFont="1"/>
    <xf numFmtId="0" fontId="5" fillId="0" borderId="0" xfId="0" applyFont="1" applyFill="1"/>
    <xf numFmtId="0" fontId="0" fillId="2" borderId="0" xfId="0" applyFill="1"/>
    <xf numFmtId="0" fontId="0" fillId="3" borderId="0" xfId="0" applyFill="1"/>
    <xf numFmtId="0" fontId="3" fillId="3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" fontId="0" fillId="2" borderId="0" xfId="0" applyNumberFormat="1" applyFill="1"/>
    <xf numFmtId="1" fontId="3" fillId="2" borderId="0" xfId="0" applyNumberFormat="1" applyFont="1" applyFill="1"/>
    <xf numFmtId="1" fontId="0" fillId="0" borderId="0" xfId="0" applyNumberFormat="1" applyFill="1"/>
    <xf numFmtId="1" fontId="3" fillId="0" borderId="0" xfId="0" applyNumberFormat="1" applyFont="1" applyFill="1" applyAlignment="1">
      <alignment horizontal="center"/>
    </xf>
    <xf numFmtId="0" fontId="0" fillId="0" borderId="0" xfId="0" applyNumberFormat="1" applyFill="1"/>
    <xf numFmtId="9" fontId="0" fillId="0" borderId="0" xfId="0" applyNumberFormat="1" applyFill="1"/>
    <xf numFmtId="0" fontId="4" fillId="0" borderId="0" xfId="1" applyFont="1" applyFill="1" applyAlignment="1" applyProtection="1"/>
    <xf numFmtId="3" fontId="0" fillId="0" borderId="0" xfId="0" applyNumberFormat="1" applyFill="1"/>
    <xf numFmtId="0" fontId="6" fillId="0" borderId="0" xfId="0" applyFont="1" applyFill="1" applyAlignment="1">
      <alignment horizontal="right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3" fillId="0" borderId="0" xfId="0" applyNumberFormat="1" applyFont="1" applyFill="1"/>
    <xf numFmtId="0" fontId="3" fillId="0" borderId="2" xfId="0" applyFont="1" applyFill="1" applyBorder="1" applyAlignment="1">
      <alignment horizontal="center"/>
    </xf>
    <xf numFmtId="0" fontId="0" fillId="0" borderId="2" xfId="0" applyFill="1" applyBorder="1"/>
    <xf numFmtId="0" fontId="3" fillId="4" borderId="0" xfId="0" applyFont="1" applyFill="1" applyAlignment="1">
      <alignment horizontal="center"/>
    </xf>
    <xf numFmtId="0" fontId="0" fillId="4" borderId="0" xfId="0" applyFill="1"/>
    <xf numFmtId="0" fontId="3" fillId="3" borderId="0" xfId="0" applyFont="1" applyFill="1" applyBorder="1" applyAlignment="1">
      <alignment horizontal="center"/>
    </xf>
    <xf numFmtId="1" fontId="0" fillId="3" borderId="0" xfId="0" applyNumberFormat="1" applyFill="1" applyBorder="1"/>
    <xf numFmtId="0" fontId="3" fillId="5" borderId="0" xfId="0" applyFont="1" applyFill="1" applyBorder="1" applyAlignment="1">
      <alignment horizontal="center"/>
    </xf>
    <xf numFmtId="1" fontId="0" fillId="5" borderId="0" xfId="0" applyNumberFormat="1" applyFill="1" applyBorder="1"/>
    <xf numFmtId="0" fontId="3" fillId="2" borderId="0" xfId="0" applyFont="1" applyFill="1" applyBorder="1" applyAlignment="1">
      <alignment horizontal="center"/>
    </xf>
    <xf numFmtId="1" fontId="0" fillId="2" borderId="0" xfId="0" applyNumberFormat="1" applyFill="1" applyBorder="1"/>
    <xf numFmtId="0" fontId="3" fillId="6" borderId="0" xfId="0" applyFont="1" applyFill="1" applyAlignment="1">
      <alignment horizontal="center"/>
    </xf>
    <xf numFmtId="0" fontId="0" fillId="6" borderId="0" xfId="0" applyFill="1"/>
    <xf numFmtId="0" fontId="3" fillId="4" borderId="0" xfId="0" applyFont="1" applyFill="1" applyBorder="1" applyAlignment="1">
      <alignment horizontal="center"/>
    </xf>
    <xf numFmtId="1" fontId="0" fillId="4" borderId="0" xfId="0" applyNumberFormat="1" applyFill="1" applyBorder="1"/>
    <xf numFmtId="1" fontId="0" fillId="4" borderId="0" xfId="0" applyNumberFormat="1" applyFill="1"/>
    <xf numFmtId="1" fontId="0" fillId="3" borderId="0" xfId="0" applyNumberFormat="1" applyFill="1"/>
    <xf numFmtId="1" fontId="0" fillId="5" borderId="0" xfId="0" applyNumberFormat="1" applyFill="1"/>
    <xf numFmtId="0" fontId="3" fillId="6" borderId="0" xfId="0" applyFont="1" applyFill="1" applyBorder="1" applyAlignment="1">
      <alignment horizontal="center"/>
    </xf>
    <xf numFmtId="0" fontId="0" fillId="6" borderId="0" xfId="0" applyFill="1" applyBorder="1"/>
    <xf numFmtId="0" fontId="3" fillId="0" borderId="0" xfId="0" applyNumberFormat="1" applyFont="1" applyFill="1"/>
    <xf numFmtId="10" fontId="3" fillId="0" borderId="0" xfId="0" applyNumberFormat="1" applyFont="1" applyFill="1"/>
    <xf numFmtId="0" fontId="3" fillId="0" borderId="2" xfId="0" applyFont="1" applyFill="1" applyBorder="1"/>
    <xf numFmtId="4" fontId="3" fillId="0" borderId="0" xfId="0" applyNumberFormat="1" applyFont="1" applyFill="1"/>
    <xf numFmtId="0" fontId="3" fillId="0" borderId="2" xfId="0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8" fontId="0" fillId="6" borderId="2" xfId="0" applyNumberFormat="1" applyFill="1" applyBorder="1"/>
    <xf numFmtId="8" fontId="0" fillId="4" borderId="2" xfId="0" applyNumberFormat="1" applyFill="1" applyBorder="1"/>
    <xf numFmtId="8" fontId="0" fillId="3" borderId="2" xfId="0" applyNumberFormat="1" applyFill="1" applyBorder="1"/>
    <xf numFmtId="8" fontId="0" fillId="5" borderId="2" xfId="0" applyNumberFormat="1" applyFill="1" applyBorder="1"/>
    <xf numFmtId="8" fontId="0" fillId="2" borderId="2" xfId="0" applyNumberFormat="1" applyFill="1" applyBorder="1"/>
    <xf numFmtId="8" fontId="0" fillId="0" borderId="0" xfId="0" applyNumberFormat="1" applyFill="1"/>
    <xf numFmtId="8" fontId="3" fillId="6" borderId="2" xfId="0" applyNumberFormat="1" applyFont="1" applyFill="1" applyBorder="1" applyAlignment="1">
      <alignment horizontal="center"/>
    </xf>
    <xf numFmtId="8" fontId="3" fillId="0" borderId="0" xfId="0" applyNumberFormat="1" applyFont="1" applyFill="1"/>
    <xf numFmtId="8" fontId="3" fillId="0" borderId="0" xfId="0" applyNumberFormat="1" applyFont="1" applyFill="1" applyAlignment="1">
      <alignment horizontal="center"/>
    </xf>
    <xf numFmtId="8" fontId="4" fillId="0" borderId="0" xfId="1" applyNumberFormat="1" applyFont="1" applyFill="1" applyAlignment="1" applyProtection="1"/>
    <xf numFmtId="8" fontId="3" fillId="4" borderId="2" xfId="0" applyNumberFormat="1" applyFont="1" applyFill="1" applyBorder="1" applyAlignment="1">
      <alignment horizontal="center"/>
    </xf>
    <xf numFmtId="8" fontId="3" fillId="3" borderId="2" xfId="0" applyNumberFormat="1" applyFont="1" applyFill="1" applyBorder="1" applyAlignment="1">
      <alignment horizontal="center"/>
    </xf>
    <xf numFmtId="8" fontId="0" fillId="0" borderId="0" xfId="0" applyNumberFormat="1" applyFill="1" applyBorder="1"/>
    <xf numFmtId="8" fontId="3" fillId="5" borderId="2" xfId="0" applyNumberFormat="1" applyFont="1" applyFill="1" applyBorder="1" applyAlignment="1">
      <alignment horizontal="center"/>
    </xf>
    <xf numFmtId="8" fontId="3" fillId="2" borderId="2" xfId="0" applyNumberFormat="1" applyFont="1" applyFill="1" applyBorder="1" applyAlignment="1">
      <alignment horizontal="center"/>
    </xf>
    <xf numFmtId="6" fontId="0" fillId="0" borderId="0" xfId="0" applyNumberFormat="1" applyFill="1"/>
    <xf numFmtId="6" fontId="3" fillId="2" borderId="3" xfId="0" applyNumberFormat="1" applyFont="1" applyFill="1" applyBorder="1" applyAlignment="1">
      <alignment horizontal="center"/>
    </xf>
    <xf numFmtId="6" fontId="0" fillId="2" borderId="3" xfId="0" applyNumberFormat="1" applyFill="1" applyBorder="1"/>
    <xf numFmtId="6" fontId="0" fillId="2" borderId="0" xfId="0" applyNumberFormat="1" applyFill="1"/>
    <xf numFmtId="6" fontId="5" fillId="2" borderId="0" xfId="0" applyNumberFormat="1" applyFont="1" applyFill="1"/>
    <xf numFmtId="6" fontId="3" fillId="0" borderId="0" xfId="0" applyNumberFormat="1" applyFont="1" applyFill="1" applyAlignment="1">
      <alignment horizontal="center"/>
    </xf>
    <xf numFmtId="6" fontId="5" fillId="0" borderId="0" xfId="0" applyNumberFormat="1" applyFont="1" applyFill="1"/>
    <xf numFmtId="6" fontId="3" fillId="0" borderId="0" xfId="0" applyNumberFormat="1" applyFont="1" applyFill="1"/>
    <xf numFmtId="6" fontId="3" fillId="5" borderId="3" xfId="0" applyNumberFormat="1" applyFont="1" applyFill="1" applyBorder="1" applyAlignment="1">
      <alignment horizontal="center"/>
    </xf>
    <xf numFmtId="6" fontId="0" fillId="5" borderId="3" xfId="0" applyNumberFormat="1" applyFill="1" applyBorder="1"/>
    <xf numFmtId="6" fontId="0" fillId="5" borderId="0" xfId="0" applyNumberFormat="1" applyFill="1"/>
    <xf numFmtId="6" fontId="5" fillId="5" borderId="0" xfId="0" applyNumberFormat="1" applyFont="1" applyFill="1"/>
    <xf numFmtId="6" fontId="3" fillId="3" borderId="3" xfId="0" applyNumberFormat="1" applyFont="1" applyFill="1" applyBorder="1" applyAlignment="1">
      <alignment horizontal="center"/>
    </xf>
    <xf numFmtId="6" fontId="0" fillId="3" borderId="3" xfId="0" applyNumberFormat="1" applyFill="1" applyBorder="1"/>
    <xf numFmtId="6" fontId="0" fillId="3" borderId="0" xfId="0" applyNumberFormat="1" applyFill="1"/>
    <xf numFmtId="6" fontId="5" fillId="3" borderId="0" xfId="0" applyNumberFormat="1" applyFont="1" applyFill="1"/>
    <xf numFmtId="6" fontId="3" fillId="4" borderId="0" xfId="0" applyNumberFormat="1" applyFont="1" applyFill="1" applyBorder="1" applyAlignment="1">
      <alignment horizontal="center"/>
    </xf>
    <xf numFmtId="6" fontId="0" fillId="4" borderId="0" xfId="0" applyNumberFormat="1" applyFill="1" applyBorder="1"/>
    <xf numFmtId="6" fontId="3" fillId="4" borderId="3" xfId="0" applyNumberFormat="1" applyFont="1" applyFill="1" applyBorder="1" applyAlignment="1">
      <alignment horizontal="center"/>
    </xf>
    <xf numFmtId="6" fontId="0" fillId="4" borderId="3" xfId="0" applyNumberFormat="1" applyFill="1" applyBorder="1"/>
    <xf numFmtId="6" fontId="0" fillId="4" borderId="0" xfId="0" applyNumberFormat="1" applyFill="1"/>
    <xf numFmtId="6" fontId="5" fillId="4" borderId="0" xfId="0" applyNumberFormat="1" applyFont="1" applyFill="1"/>
    <xf numFmtId="6" fontId="3" fillId="6" borderId="0" xfId="0" applyNumberFormat="1" applyFont="1" applyFill="1" applyAlignment="1">
      <alignment horizontal="center"/>
    </xf>
    <xf numFmtId="6" fontId="0" fillId="6" borderId="0" xfId="0" applyNumberFormat="1" applyFill="1"/>
    <xf numFmtId="6" fontId="3" fillId="6" borderId="3" xfId="0" applyNumberFormat="1" applyFont="1" applyFill="1" applyBorder="1" applyAlignment="1">
      <alignment horizontal="center"/>
    </xf>
    <xf numFmtId="6" fontId="0" fillId="6" borderId="3" xfId="0" applyNumberFormat="1" applyFill="1" applyBorder="1"/>
    <xf numFmtId="6" fontId="5" fillId="6" borderId="0" xfId="0" applyNumberFormat="1" applyFont="1" applyFill="1"/>
    <xf numFmtId="6" fontId="4" fillId="0" borderId="0" xfId="1" applyNumberFormat="1" applyFont="1" applyFill="1" applyAlignment="1" applyProtection="1"/>
    <xf numFmtId="8" fontId="5" fillId="6" borderId="2" xfId="0" applyNumberFormat="1" applyFont="1" applyFill="1" applyBorder="1"/>
    <xf numFmtId="8" fontId="5" fillId="4" borderId="2" xfId="0" applyNumberFormat="1" applyFont="1" applyFill="1" applyBorder="1"/>
    <xf numFmtId="8" fontId="5" fillId="3" borderId="2" xfId="0" applyNumberFormat="1" applyFont="1" applyFill="1" applyBorder="1"/>
    <xf numFmtId="8" fontId="5" fillId="5" borderId="2" xfId="0" applyNumberFormat="1" applyFont="1" applyFill="1" applyBorder="1"/>
    <xf numFmtId="8" fontId="5" fillId="2" borderId="2" xfId="0" applyNumberFormat="1" applyFont="1" applyFill="1" applyBorder="1"/>
    <xf numFmtId="0" fontId="8" fillId="0" borderId="0" xfId="0" applyFont="1" applyFill="1"/>
    <xf numFmtId="0" fontId="8" fillId="0" borderId="2" xfId="0" applyFont="1" applyFill="1" applyBorder="1"/>
    <xf numFmtId="6" fontId="8" fillId="6" borderId="0" xfId="0" applyNumberFormat="1" applyFont="1" applyFill="1"/>
    <xf numFmtId="0" fontId="8" fillId="6" borderId="0" xfId="0" applyFont="1" applyFill="1"/>
    <xf numFmtId="8" fontId="8" fillId="6" borderId="2" xfId="0" applyNumberFormat="1" applyFont="1" applyFill="1" applyBorder="1"/>
    <xf numFmtId="6" fontId="8" fillId="4" borderId="0" xfId="0" applyNumberFormat="1" applyFont="1" applyFill="1"/>
    <xf numFmtId="1" fontId="8" fillId="4" borderId="0" xfId="0" applyNumberFormat="1" applyFont="1" applyFill="1"/>
    <xf numFmtId="8" fontId="8" fillId="4" borderId="2" xfId="0" applyNumberFormat="1" applyFont="1" applyFill="1" applyBorder="1"/>
    <xf numFmtId="6" fontId="8" fillId="3" borderId="0" xfId="0" applyNumberFormat="1" applyFont="1" applyFill="1"/>
    <xf numFmtId="1" fontId="8" fillId="3" borderId="0" xfId="0" applyNumberFormat="1" applyFont="1" applyFill="1"/>
    <xf numFmtId="8" fontId="8" fillId="3" borderId="2" xfId="0" applyNumberFormat="1" applyFont="1" applyFill="1" applyBorder="1"/>
    <xf numFmtId="6" fontId="8" fillId="5" borderId="0" xfId="0" applyNumberFormat="1" applyFont="1" applyFill="1"/>
    <xf numFmtId="1" fontId="8" fillId="5" borderId="0" xfId="0" applyNumberFormat="1" applyFont="1" applyFill="1"/>
    <xf numFmtId="8" fontId="8" fillId="5" borderId="2" xfId="0" applyNumberFormat="1" applyFont="1" applyFill="1" applyBorder="1"/>
    <xf numFmtId="6" fontId="8" fillId="2" borderId="0" xfId="0" applyNumberFormat="1" applyFont="1" applyFill="1"/>
    <xf numFmtId="1" fontId="8" fillId="2" borderId="0" xfId="0" applyNumberFormat="1" applyFont="1" applyFill="1"/>
    <xf numFmtId="8" fontId="8" fillId="2" borderId="2" xfId="0" applyNumberFormat="1" applyFont="1" applyFill="1" applyBorder="1"/>
    <xf numFmtId="6" fontId="3" fillId="2" borderId="0" xfId="0" applyNumberFormat="1" applyFont="1" applyFill="1"/>
    <xf numFmtId="8" fontId="3" fillId="2" borderId="2" xfId="0" applyNumberFormat="1" applyFont="1" applyFill="1" applyBorder="1"/>
    <xf numFmtId="6" fontId="3" fillId="5" borderId="0" xfId="0" applyNumberFormat="1" applyFont="1" applyFill="1"/>
    <xf numFmtId="1" fontId="3" fillId="5" borderId="0" xfId="0" applyNumberFormat="1" applyFont="1" applyFill="1"/>
    <xf numFmtId="8" fontId="3" fillId="5" borderId="2" xfId="0" applyNumberFormat="1" applyFont="1" applyFill="1" applyBorder="1"/>
    <xf numFmtId="6" fontId="3" fillId="3" borderId="0" xfId="0" applyNumberFormat="1" applyFont="1" applyFill="1"/>
    <xf numFmtId="1" fontId="3" fillId="3" borderId="0" xfId="0" applyNumberFormat="1" applyFont="1" applyFill="1"/>
    <xf numFmtId="8" fontId="3" fillId="3" borderId="2" xfId="0" applyNumberFormat="1" applyFont="1" applyFill="1" applyBorder="1"/>
    <xf numFmtId="8" fontId="3" fillId="4" borderId="2" xfId="0" applyNumberFormat="1" applyFont="1" applyFill="1" applyBorder="1"/>
    <xf numFmtId="6" fontId="3" fillId="4" borderId="0" xfId="0" applyNumberFormat="1" applyFont="1" applyFill="1"/>
    <xf numFmtId="1" fontId="3" fillId="4" borderId="0" xfId="0" applyNumberFormat="1" applyFont="1" applyFill="1"/>
    <xf numFmtId="6" fontId="3" fillId="6" borderId="0" xfId="0" applyNumberFormat="1" applyFont="1" applyFill="1"/>
    <xf numFmtId="0" fontId="3" fillId="6" borderId="0" xfId="0" applyFont="1" applyFill="1"/>
    <xf numFmtId="8" fontId="3" fillId="6" borderId="2" xfId="0" applyNumberFormat="1" applyFont="1" applyFill="1" applyBorder="1"/>
    <xf numFmtId="0" fontId="0" fillId="3" borderId="0" xfId="0" applyNumberFormat="1" applyFill="1"/>
    <xf numFmtId="0" fontId="0" fillId="5" borderId="0" xfId="0" applyFill="1"/>
    <xf numFmtId="9" fontId="3" fillId="0" borderId="0" xfId="0" applyNumberFormat="1" applyFont="1" applyFill="1" applyAlignment="1">
      <alignment horizontal="center"/>
    </xf>
    <xf numFmtId="6" fontId="9" fillId="0" borderId="0" xfId="1" applyNumberFormat="1" applyFont="1" applyFill="1" applyAlignment="1" applyProtection="1"/>
    <xf numFmtId="0" fontId="9" fillId="0" borderId="0" xfId="1" applyFont="1" applyFill="1" applyAlignment="1" applyProtection="1"/>
    <xf numFmtId="8" fontId="9" fillId="0" borderId="0" xfId="1" applyNumberFormat="1" applyFont="1" applyFill="1" applyAlignment="1" applyProtection="1"/>
    <xf numFmtId="9" fontId="3" fillId="0" borderId="0" xfId="0" applyNumberFormat="1" applyFont="1" applyFill="1"/>
    <xf numFmtId="6" fontId="3" fillId="4" borderId="0" xfId="0" applyNumberFormat="1" applyFont="1" applyFill="1" applyAlignment="1">
      <alignment horizontal="center"/>
    </xf>
    <xf numFmtId="38" fontId="0" fillId="4" borderId="0" xfId="0" applyNumberFormat="1" applyFill="1"/>
    <xf numFmtId="38" fontId="5" fillId="4" borderId="0" xfId="0" applyNumberFormat="1" applyFont="1" applyFill="1"/>
    <xf numFmtId="38" fontId="3" fillId="4" borderId="0" xfId="0" applyNumberFormat="1" applyFont="1" applyFill="1"/>
    <xf numFmtId="4" fontId="3" fillId="4" borderId="0" xfId="0" applyNumberFormat="1" applyFont="1" applyFill="1" applyAlignment="1">
      <alignment horizontal="center"/>
    </xf>
    <xf numFmtId="0" fontId="3" fillId="4" borderId="0" xfId="0" applyFont="1" applyFill="1"/>
    <xf numFmtId="6" fontId="3" fillId="3" borderId="0" xfId="0" applyNumberFormat="1" applyFont="1" applyFill="1" applyAlignment="1">
      <alignment horizontal="center"/>
    </xf>
    <xf numFmtId="38" fontId="0" fillId="3" borderId="0" xfId="0" applyNumberFormat="1" applyFill="1"/>
    <xf numFmtId="38" fontId="0" fillId="3" borderId="0" xfId="0" applyNumberFormat="1" applyFill="1" applyBorder="1"/>
    <xf numFmtId="38" fontId="5" fillId="3" borderId="0" xfId="0" applyNumberFormat="1" applyFont="1" applyFill="1" applyBorder="1"/>
    <xf numFmtId="38" fontId="3" fillId="3" borderId="0" xfId="0" applyNumberFormat="1" applyFont="1" applyFill="1"/>
    <xf numFmtId="4" fontId="3" fillId="3" borderId="0" xfId="0" applyNumberFormat="1" applyFont="1" applyFill="1" applyAlignment="1">
      <alignment horizontal="center"/>
    </xf>
    <xf numFmtId="0" fontId="3" fillId="3" borderId="0" xfId="0" applyFont="1" applyFill="1"/>
    <xf numFmtId="6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38" fontId="0" fillId="5" borderId="0" xfId="0" applyNumberFormat="1" applyFill="1"/>
    <xf numFmtId="38" fontId="5" fillId="5" borderId="0" xfId="0" applyNumberFormat="1" applyFont="1" applyFill="1"/>
    <xf numFmtId="38" fontId="3" fillId="5" borderId="0" xfId="0" applyNumberFormat="1" applyFont="1" applyFill="1"/>
    <xf numFmtId="4" fontId="3" fillId="5" borderId="0" xfId="0" applyNumberFormat="1" applyFont="1" applyFill="1" applyAlignment="1">
      <alignment horizontal="center"/>
    </xf>
    <xf numFmtId="0" fontId="3" fillId="5" borderId="0" xfId="0" applyFont="1" applyFill="1"/>
    <xf numFmtId="164" fontId="0" fillId="4" borderId="0" xfId="0" applyNumberFormat="1" applyFill="1" applyAlignment="1">
      <alignment horizontal="right"/>
    </xf>
    <xf numFmtId="164" fontId="0" fillId="3" borderId="0" xfId="0" applyNumberFormat="1" applyFill="1" applyAlignment="1">
      <alignment horizontal="right"/>
    </xf>
    <xf numFmtId="164" fontId="0" fillId="5" borderId="0" xfId="0" applyNumberFormat="1" applyFill="1" applyAlignment="1">
      <alignment horizontal="right"/>
    </xf>
    <xf numFmtId="0" fontId="3" fillId="7" borderId="0" xfId="0" applyFont="1" applyFill="1"/>
    <xf numFmtId="0" fontId="0" fillId="7" borderId="0" xfId="0" applyFill="1"/>
    <xf numFmtId="6" fontId="0" fillId="7" borderId="0" xfId="0" applyNumberFormat="1" applyFill="1"/>
    <xf numFmtId="6" fontId="3" fillId="7" borderId="0" xfId="0" applyNumberFormat="1" applyFont="1" applyFill="1"/>
    <xf numFmtId="38" fontId="5" fillId="3" borderId="0" xfId="0" applyNumberFormat="1" applyFont="1" applyFill="1"/>
    <xf numFmtId="9" fontId="5" fillId="0" borderId="0" xfId="0" applyNumberFormat="1" applyFont="1" applyFill="1"/>
    <xf numFmtId="0" fontId="3" fillId="0" borderId="0" xfId="0" applyFont="1" applyAlignment="1">
      <alignment horizontal="center"/>
    </xf>
    <xf numFmtId="9" fontId="1" fillId="0" borderId="0" xfId="0" applyNumberFormat="1" applyFont="1" applyFill="1"/>
    <xf numFmtId="1" fontId="0" fillId="0" borderId="0" xfId="0" applyNumberFormat="1"/>
    <xf numFmtId="0" fontId="0" fillId="8" borderId="0" xfId="0" applyNumberFormat="1" applyFill="1" applyProtection="1">
      <protection locked="0"/>
    </xf>
    <xf numFmtId="165" fontId="0" fillId="8" borderId="0" xfId="0" applyNumberFormat="1" applyFill="1" applyProtection="1">
      <protection locked="0"/>
    </xf>
    <xf numFmtId="0" fontId="0" fillId="8" borderId="0" xfId="0" applyFill="1" applyProtection="1">
      <protection locked="0"/>
    </xf>
    <xf numFmtId="10" fontId="0" fillId="8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9" borderId="0" xfId="0" applyFill="1" applyProtection="1">
      <protection locked="0"/>
    </xf>
    <xf numFmtId="165" fontId="0" fillId="0" borderId="0" xfId="0" applyNumberFormat="1" applyFill="1" applyProtection="1"/>
    <xf numFmtId="3" fontId="0" fillId="4" borderId="0" xfId="0" applyNumberFormat="1" applyFill="1" applyAlignment="1">
      <alignment horizontal="right" indent="1"/>
    </xf>
    <xf numFmtId="3" fontId="0" fillId="4" borderId="0" xfId="0" applyNumberFormat="1" applyFill="1" applyBorder="1" applyAlignment="1">
      <alignment horizontal="right" indent="1"/>
    </xf>
    <xf numFmtId="3" fontId="5" fillId="4" borderId="0" xfId="0" applyNumberFormat="1" applyFont="1" applyFill="1" applyBorder="1" applyAlignment="1">
      <alignment horizontal="right" indent="1"/>
    </xf>
    <xf numFmtId="3" fontId="3" fillId="4" borderId="0" xfId="0" applyNumberFormat="1" applyFont="1" applyFill="1" applyAlignment="1">
      <alignment horizontal="right" indent="1"/>
    </xf>
    <xf numFmtId="3" fontId="0" fillId="3" borderId="0" xfId="0" applyNumberFormat="1" applyFill="1"/>
    <xf numFmtId="3" fontId="0" fillId="3" borderId="0" xfId="0" applyNumberFormat="1" applyFill="1" applyBorder="1"/>
    <xf numFmtId="3" fontId="5" fillId="3" borderId="0" xfId="0" applyNumberFormat="1" applyFont="1" applyFill="1" applyBorder="1"/>
    <xf numFmtId="3" fontId="3" fillId="3" borderId="0" xfId="0" applyNumberFormat="1" applyFont="1" applyFill="1"/>
    <xf numFmtId="3" fontId="0" fillId="5" borderId="0" xfId="0" applyNumberFormat="1" applyFill="1"/>
    <xf numFmtId="3" fontId="0" fillId="5" borderId="0" xfId="0" applyNumberFormat="1" applyFill="1" applyBorder="1"/>
    <xf numFmtId="3" fontId="5" fillId="5" borderId="0" xfId="0" applyNumberFormat="1" applyFont="1" applyFill="1" applyBorder="1"/>
    <xf numFmtId="3" fontId="3" fillId="5" borderId="0" xfId="0" applyNumberFormat="1" applyFont="1" applyFill="1"/>
    <xf numFmtId="3" fontId="0" fillId="4" borderId="0" xfId="0" applyNumberFormat="1" applyFill="1"/>
    <xf numFmtId="3" fontId="5" fillId="4" borderId="0" xfId="0" applyNumberFormat="1" applyFont="1" applyFill="1"/>
    <xf numFmtId="3" fontId="3" fillId="4" borderId="0" xfId="0" applyNumberFormat="1" applyFont="1" applyFill="1"/>
    <xf numFmtId="3" fontId="5" fillId="3" borderId="0" xfId="0" applyNumberFormat="1" applyFont="1" applyFill="1"/>
    <xf numFmtId="3" fontId="5" fillId="5" borderId="0" xfId="0" applyNumberFormat="1" applyFont="1" applyFill="1"/>
    <xf numFmtId="165" fontId="0" fillId="0" borderId="0" xfId="0" applyNumberForma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165" fontId="3" fillId="0" borderId="0" xfId="0" applyNumberFormat="1" applyFont="1" applyFill="1"/>
    <xf numFmtId="0" fontId="6" fillId="0" borderId="0" xfId="0" applyFont="1"/>
    <xf numFmtId="165" fontId="0" fillId="0" borderId="0" xfId="0" applyNumberFormat="1"/>
    <xf numFmtId="0" fontId="10" fillId="0" borderId="0" xfId="0" applyFont="1"/>
    <xf numFmtId="164" fontId="0" fillId="0" borderId="0" xfId="0" applyNumberFormat="1"/>
    <xf numFmtId="165" fontId="1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6" fontId="11" fillId="7" borderId="0" xfId="0" applyNumberFormat="1" applyFont="1" applyFill="1"/>
    <xf numFmtId="166" fontId="0" fillId="8" borderId="0" xfId="3" applyNumberFormat="1" applyFont="1" applyFill="1" applyProtection="1">
      <protection locked="0"/>
    </xf>
    <xf numFmtId="0" fontId="1" fillId="0" borderId="0" xfId="0" applyFont="1"/>
    <xf numFmtId="9" fontId="0" fillId="11" borderId="1" xfId="2" applyFont="1" applyFill="1" applyBorder="1"/>
    <xf numFmtId="6" fontId="0" fillId="11" borderId="0" xfId="0" applyNumberFormat="1" applyFill="1"/>
    <xf numFmtId="6" fontId="0" fillId="11" borderId="1" xfId="0" applyNumberFormat="1" applyFill="1" applyBorder="1"/>
    <xf numFmtId="0" fontId="0" fillId="0" borderId="4" xfId="0" applyBorder="1" applyAlignment="1">
      <alignment horizontal="center"/>
    </xf>
    <xf numFmtId="165" fontId="0" fillId="0" borderId="5" xfId="0" applyNumberFormat="1" applyBorder="1"/>
    <xf numFmtId="165" fontId="0" fillId="0" borderId="6" xfId="0" applyNumberFormat="1" applyBorder="1"/>
    <xf numFmtId="3" fontId="0" fillId="0" borderId="0" xfId="0" applyNumberFormat="1"/>
    <xf numFmtId="165" fontId="0" fillId="0" borderId="0" xfId="0" applyNumberFormat="1" applyFill="1" applyProtection="1">
      <protection locked="0"/>
    </xf>
    <xf numFmtId="165" fontId="3" fillId="0" borderId="0" xfId="0" applyNumberFormat="1" applyFont="1" applyFill="1" applyAlignment="1">
      <alignment horizontal="center"/>
    </xf>
    <xf numFmtId="6" fontId="3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Fill="1"/>
    <xf numFmtId="0" fontId="3" fillId="0" borderId="0" xfId="0" applyFont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6" fontId="0" fillId="0" borderId="0" xfId="3" applyNumberFormat="1" applyFont="1"/>
    <xf numFmtId="6" fontId="0" fillId="9" borderId="0" xfId="0" applyNumberFormat="1" applyFill="1"/>
    <xf numFmtId="0" fontId="1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6" fontId="0" fillId="12" borderId="0" xfId="0" applyNumberFormat="1" applyFill="1"/>
    <xf numFmtId="9" fontId="0" fillId="13" borderId="1" xfId="2" applyFont="1" applyFill="1" applyBorder="1"/>
    <xf numFmtId="6" fontId="0" fillId="13" borderId="0" xfId="0" applyNumberFormat="1" applyFill="1"/>
    <xf numFmtId="6" fontId="0" fillId="13" borderId="1" xfId="0" applyNumberFormat="1" applyFill="1" applyBorder="1"/>
    <xf numFmtId="10" fontId="0" fillId="13" borderId="0" xfId="2" applyNumberFormat="1" applyFont="1" applyFill="1"/>
    <xf numFmtId="165" fontId="0" fillId="9" borderId="0" xfId="0" applyNumberFormat="1" applyFill="1" applyProtection="1">
      <protection locked="0"/>
    </xf>
    <xf numFmtId="6" fontId="0" fillId="9" borderId="0" xfId="0" applyNumberFormat="1" applyFill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9" fontId="0" fillId="12" borderId="1" xfId="2" applyFont="1" applyFill="1" applyBorder="1"/>
    <xf numFmtId="6" fontId="0" fillId="12" borderId="1" xfId="0" applyNumberFormat="1" applyFill="1" applyBorder="1"/>
    <xf numFmtId="10" fontId="0" fillId="0" borderId="0" xfId="2" applyNumberFormat="1" applyFont="1" applyFill="1" applyProtection="1">
      <protection locked="0"/>
    </xf>
    <xf numFmtId="0" fontId="0" fillId="0" borderId="0" xfId="0" applyFont="1"/>
    <xf numFmtId="1" fontId="3" fillId="4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1" fontId="3" fillId="5" borderId="0" xfId="0" applyNumberFormat="1" applyFont="1" applyFill="1" applyAlignment="1">
      <alignment horizontal="center"/>
    </xf>
    <xf numFmtId="0" fontId="14" fillId="0" borderId="0" xfId="0" applyNumberFormat="1" applyFont="1" applyAlignment="1">
      <alignment horizontal="center"/>
    </xf>
    <xf numFmtId="9" fontId="0" fillId="0" borderId="0" xfId="0" applyNumberFormat="1"/>
    <xf numFmtId="164" fontId="0" fillId="8" borderId="0" xfId="0" applyNumberFormat="1" applyFill="1" applyProtection="1">
      <protection locked="0"/>
    </xf>
    <xf numFmtId="3" fontId="1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/>
    <xf numFmtId="165" fontId="0" fillId="0" borderId="8" xfId="0" applyNumberFormat="1" applyBorder="1"/>
    <xf numFmtId="0" fontId="3" fillId="0" borderId="8" xfId="0" applyFont="1" applyBorder="1" applyAlignment="1">
      <alignment horizontal="center"/>
    </xf>
    <xf numFmtId="3" fontId="0" fillId="0" borderId="8" xfId="0" applyNumberFormat="1" applyBorder="1"/>
    <xf numFmtId="0" fontId="0" fillId="0" borderId="9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2" xfId="0" applyBorder="1"/>
    <xf numFmtId="1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9" fontId="0" fillId="0" borderId="4" xfId="2" applyFont="1" applyBorder="1"/>
    <xf numFmtId="9" fontId="0" fillId="0" borderId="5" xfId="2" applyFont="1" applyBorder="1"/>
    <xf numFmtId="9" fontId="0" fillId="0" borderId="6" xfId="2" applyFont="1" applyBorder="1"/>
    <xf numFmtId="0" fontId="3" fillId="0" borderId="0" xfId="0" applyFont="1" applyAlignment="1">
      <alignment horizontal="center"/>
    </xf>
    <xf numFmtId="165" fontId="0" fillId="13" borderId="0" xfId="2" applyNumberFormat="1" applyFont="1" applyFill="1"/>
    <xf numFmtId="9" fontId="3" fillId="0" borderId="0" xfId="0" applyNumberFormat="1" applyFont="1" applyAlignment="1">
      <alignment horizontal="center"/>
    </xf>
    <xf numFmtId="0" fontId="15" fillId="0" borderId="0" xfId="0" applyFont="1"/>
    <xf numFmtId="165" fontId="0" fillId="13" borderId="0" xfId="0" applyNumberFormat="1" applyFill="1" applyBorder="1"/>
    <xf numFmtId="165" fontId="0" fillId="12" borderId="0" xfId="0" applyNumberFormat="1" applyFill="1" applyBorder="1"/>
    <xf numFmtId="6" fontId="0" fillId="15" borderId="0" xfId="0" applyNumberFormat="1" applyFill="1"/>
    <xf numFmtId="6" fontId="0" fillId="13" borderId="0" xfId="0" applyNumberFormat="1" applyFill="1" applyBorder="1"/>
    <xf numFmtId="6" fontId="0" fillId="14" borderId="0" xfId="0" applyNumberFormat="1" applyFill="1" applyBorder="1"/>
    <xf numFmtId="6" fontId="0" fillId="15" borderId="1" xfId="0" applyNumberFormat="1" applyFill="1" applyBorder="1"/>
    <xf numFmtId="6" fontId="0" fillId="15" borderId="0" xfId="0" applyNumberFormat="1" applyFill="1" applyBorder="1"/>
    <xf numFmtId="165" fontId="0" fillId="14" borderId="0" xfId="0" applyNumberFormat="1" applyFill="1"/>
    <xf numFmtId="10" fontId="0" fillId="14" borderId="0" xfId="2" applyNumberFormat="1" applyFont="1" applyFill="1"/>
    <xf numFmtId="10" fontId="0" fillId="14" borderId="0" xfId="2" applyNumberFormat="1" applyFont="1" applyFill="1" applyBorder="1"/>
    <xf numFmtId="165" fontId="0" fillId="14" borderId="0" xfId="2" applyNumberFormat="1" applyFont="1" applyFill="1"/>
    <xf numFmtId="10" fontId="0" fillId="15" borderId="0" xfId="2" applyNumberFormat="1" applyFont="1" applyFill="1"/>
    <xf numFmtId="165" fontId="0" fillId="15" borderId="0" xfId="0" applyNumberFormat="1" applyFill="1"/>
    <xf numFmtId="10" fontId="0" fillId="15" borderId="0" xfId="2" applyNumberFormat="1" applyFont="1" applyFill="1" applyBorder="1"/>
    <xf numFmtId="165" fontId="0" fillId="15" borderId="0" xfId="2" applyNumberFormat="1" applyFont="1" applyFill="1"/>
    <xf numFmtId="0" fontId="3" fillId="0" borderId="0" xfId="0" applyFont="1" applyFill="1" applyBorder="1"/>
    <xf numFmtId="6" fontId="15" fillId="13" borderId="0" xfId="0" applyNumberFormat="1" applyFont="1" applyFill="1" applyBorder="1"/>
    <xf numFmtId="6" fontId="15" fillId="15" borderId="0" xfId="0" applyNumberFormat="1" applyFont="1" applyFill="1" applyBorder="1"/>
    <xf numFmtId="165" fontId="15" fillId="13" borderId="0" xfId="0" applyNumberFormat="1" applyFont="1" applyFill="1" applyBorder="1" applyAlignment="1">
      <alignment vertical="center"/>
    </xf>
    <xf numFmtId="165" fontId="15" fillId="15" borderId="0" xfId="0" applyNumberFormat="1" applyFont="1" applyFill="1" applyBorder="1" applyAlignment="1">
      <alignment vertical="center"/>
    </xf>
    <xf numFmtId="0" fontId="0" fillId="0" borderId="8" xfId="0" applyFill="1" applyBorder="1"/>
    <xf numFmtId="0" fontId="3" fillId="0" borderId="0" xfId="0" applyFont="1" applyAlignment="1">
      <alignment horizontal="center"/>
    </xf>
    <xf numFmtId="6" fontId="15" fillId="0" borderId="0" xfId="0" applyNumberFormat="1" applyFont="1"/>
    <xf numFmtId="165" fontId="0" fillId="0" borderId="0" xfId="0" applyNumberFormat="1" applyFill="1" applyBorder="1" applyProtection="1">
      <protection locked="0"/>
    </xf>
    <xf numFmtId="6" fontId="15" fillId="14" borderId="0" xfId="0" applyNumberFormat="1" applyFont="1" applyFill="1" applyBorder="1"/>
    <xf numFmtId="6" fontId="0" fillId="12" borderId="0" xfId="0" applyNumberFormat="1" applyFill="1" applyBorder="1"/>
    <xf numFmtId="8" fontId="0" fillId="13" borderId="0" xfId="0" applyNumberFormat="1" applyFill="1"/>
    <xf numFmtId="8" fontId="0" fillId="15" borderId="0" xfId="0" applyNumberFormat="1" applyFill="1"/>
    <xf numFmtId="8" fontId="0" fillId="14" borderId="0" xfId="0" applyNumberForma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6" fontId="1" fillId="14" borderId="0" xfId="0" applyNumberFormat="1" applyFont="1" applyFill="1" applyBorder="1"/>
    <xf numFmtId="6" fontId="0" fillId="0" borderId="0" xfId="0" applyNumberFormat="1"/>
    <xf numFmtId="167" fontId="0" fillId="0" borderId="0" xfId="0" applyNumberFormat="1"/>
    <xf numFmtId="8" fontId="1" fillId="8" borderId="0" xfId="0" applyNumberFormat="1" applyFont="1" applyFill="1" applyProtection="1">
      <protection locked="0"/>
    </xf>
    <xf numFmtId="164" fontId="1" fillId="8" borderId="0" xfId="0" applyNumberFormat="1" applyFont="1" applyFill="1" applyProtection="1">
      <protection locked="0"/>
    </xf>
    <xf numFmtId="0" fontId="3" fillId="0" borderId="0" xfId="0" applyFont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Border="1"/>
    <xf numFmtId="0" fontId="17" fillId="0" borderId="0" xfId="0" applyFont="1"/>
    <xf numFmtId="165" fontId="17" fillId="0" borderId="0" xfId="0" applyNumberFormat="1" applyFont="1" applyFill="1" applyAlignment="1">
      <alignment horizontal="center"/>
    </xf>
    <xf numFmtId="0" fontId="18" fillId="0" borderId="0" xfId="0" applyFont="1"/>
    <xf numFmtId="0" fontId="17" fillId="0" borderId="0" xfId="0" applyFont="1" applyFill="1" applyAlignment="1">
      <alignment horizontal="center"/>
    </xf>
    <xf numFmtId="0" fontId="18" fillId="0" borderId="0" xfId="0" applyFont="1" applyFill="1"/>
    <xf numFmtId="165" fontId="18" fillId="0" borderId="0" xfId="0" applyNumberFormat="1" applyFont="1" applyFill="1" applyProtection="1">
      <protection locked="0"/>
    </xf>
    <xf numFmtId="0" fontId="1" fillId="0" borderId="0" xfId="0" applyFont="1" applyFill="1"/>
    <xf numFmtId="43" fontId="0" fillId="0" borderId="0" xfId="3" applyFont="1" applyFill="1"/>
    <xf numFmtId="43" fontId="0" fillId="0" borderId="0" xfId="2" applyNumberFormat="1" applyFont="1" applyFill="1"/>
    <xf numFmtId="43" fontId="0" fillId="0" borderId="1" xfId="3" applyFont="1" applyFill="1" applyBorder="1"/>
    <xf numFmtId="43" fontId="0" fillId="0" borderId="0" xfId="0" applyNumberFormat="1" applyFill="1"/>
    <xf numFmtId="43" fontId="0" fillId="0" borderId="0" xfId="0" applyNumberFormat="1"/>
    <xf numFmtId="43" fontId="0" fillId="8" borderId="0" xfId="3" applyFont="1" applyFill="1" applyProtection="1">
      <protection locked="0"/>
    </xf>
    <xf numFmtId="165" fontId="1" fillId="0" borderId="0" xfId="0" applyNumberFormat="1" applyFont="1"/>
    <xf numFmtId="9" fontId="1" fillId="0" borderId="0" xfId="2" applyFont="1"/>
    <xf numFmtId="0" fontId="0" fillId="0" borderId="0" xfId="0" applyFont="1" applyFill="1"/>
    <xf numFmtId="5" fontId="1" fillId="0" borderId="0" xfId="4" applyNumberFormat="1" applyFont="1"/>
    <xf numFmtId="8" fontId="0" fillId="6" borderId="0" xfId="0" applyNumberFormat="1" applyFill="1"/>
    <xf numFmtId="9" fontId="1" fillId="8" borderId="0" xfId="5" applyNumberFormat="1" applyFill="1" applyProtection="1">
      <protection locked="0"/>
    </xf>
    <xf numFmtId="9" fontId="1" fillId="8" borderId="1" xfId="5" applyNumberFormat="1" applyFont="1" applyFill="1" applyBorder="1" applyProtection="1">
      <protection locked="0"/>
    </xf>
    <xf numFmtId="0" fontId="1" fillId="8" borderId="0" xfId="5" applyFill="1" applyProtection="1">
      <protection locked="0"/>
    </xf>
    <xf numFmtId="9" fontId="1" fillId="8" borderId="0" xfId="5" applyNumberFormat="1" applyFill="1" applyProtection="1">
      <protection locked="0"/>
    </xf>
    <xf numFmtId="9" fontId="1" fillId="8" borderId="1" xfId="5" applyNumberFormat="1" applyFill="1" applyBorder="1" applyProtection="1">
      <protection locked="0"/>
    </xf>
    <xf numFmtId="9" fontId="1" fillId="8" borderId="0" xfId="5" applyNumberFormat="1" applyFont="1" applyFill="1" applyProtection="1">
      <protection locked="0"/>
    </xf>
    <xf numFmtId="0" fontId="3" fillId="0" borderId="0" xfId="0" applyFont="1" applyAlignment="1">
      <alignment horizontal="center"/>
    </xf>
    <xf numFmtId="0" fontId="3" fillId="13" borderId="0" xfId="0" applyFont="1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9" fontId="0" fillId="13" borderId="0" xfId="2" applyFont="1" applyFill="1" applyBorder="1"/>
    <xf numFmtId="9" fontId="0" fillId="12" borderId="0" xfId="2" applyFont="1" applyFill="1" applyBorder="1"/>
    <xf numFmtId="9" fontId="0" fillId="11" borderId="0" xfId="2" applyFont="1" applyFill="1" applyBorder="1"/>
    <xf numFmtId="0" fontId="0" fillId="13" borderId="0" xfId="0" applyFill="1" applyBorder="1"/>
    <xf numFmtId="0" fontId="0" fillId="12" borderId="0" xfId="0" applyFill="1" applyBorder="1"/>
    <xf numFmtId="0" fontId="0" fillId="11" borderId="0" xfId="0" applyFill="1" applyBorder="1"/>
    <xf numFmtId="165" fontId="3" fillId="0" borderId="0" xfId="0" applyNumberFormat="1" applyFont="1" applyFill="1" applyBorder="1" applyAlignment="1">
      <alignment horizontal="center"/>
    </xf>
    <xf numFmtId="6" fontId="0" fillId="11" borderId="0" xfId="0" applyNumberFormat="1" applyFill="1" applyBorder="1"/>
    <xf numFmtId="0" fontId="3" fillId="15" borderId="0" xfId="0" applyFont="1" applyFill="1" applyBorder="1" applyAlignment="1">
      <alignment horizontal="center"/>
    </xf>
    <xf numFmtId="6" fontId="15" fillId="14" borderId="0" xfId="0" applyNumberFormat="1" applyFont="1" applyFill="1" applyBorder="1" applyAlignment="1">
      <alignment horizontal="right"/>
    </xf>
    <xf numFmtId="9" fontId="1" fillId="0" borderId="0" xfId="0" applyNumberFormat="1" applyFont="1" applyBorder="1"/>
    <xf numFmtId="10" fontId="0" fillId="13" borderId="0" xfId="2" applyNumberFormat="1" applyFont="1" applyFill="1" applyBorder="1"/>
    <xf numFmtId="0" fontId="6" fillId="13" borderId="0" xfId="0" applyFont="1" applyFill="1" applyBorder="1"/>
    <xf numFmtId="0" fontId="0" fillId="15" borderId="0" xfId="0" applyFill="1" applyBorder="1"/>
    <xf numFmtId="0" fontId="0" fillId="14" borderId="0" xfId="0" applyFill="1" applyBorder="1"/>
    <xf numFmtId="0" fontId="3" fillId="0" borderId="1" xfId="0" applyFont="1" applyBorder="1" applyAlignment="1">
      <alignment horizontal="center"/>
    </xf>
    <xf numFmtId="165" fontId="15" fillId="13" borderId="1" xfId="0" applyNumberFormat="1" applyFont="1" applyFill="1" applyBorder="1"/>
    <xf numFmtId="165" fontId="15" fillId="15" borderId="1" xfId="0" applyNumberFormat="1" applyFont="1" applyFill="1" applyBorder="1"/>
    <xf numFmtId="165" fontId="15" fillId="14" borderId="1" xfId="0" applyNumberFormat="1" applyFont="1" applyFill="1" applyBorder="1"/>
    <xf numFmtId="0" fontId="3" fillId="0" borderId="8" xfId="0" applyFont="1" applyBorder="1"/>
    <xf numFmtId="0" fontId="3" fillId="0" borderId="0" xfId="0" applyFont="1" applyBorder="1"/>
    <xf numFmtId="6" fontId="15" fillId="11" borderId="0" xfId="0" applyNumberFormat="1" applyFont="1" applyFill="1" applyBorder="1"/>
    <xf numFmtId="9" fontId="3" fillId="0" borderId="0" xfId="0" applyNumberFormat="1" applyFont="1" applyBorder="1"/>
    <xf numFmtId="0" fontId="3" fillId="14" borderId="0" xfId="0" applyFont="1" applyFill="1" applyBorder="1" applyAlignment="1">
      <alignment horizontal="center"/>
    </xf>
    <xf numFmtId="0" fontId="0" fillId="0" borderId="8" xfId="0" applyBorder="1"/>
    <xf numFmtId="0" fontId="10" fillId="0" borderId="3" xfId="0" applyFont="1" applyBorder="1"/>
    <xf numFmtId="6" fontId="1" fillId="0" borderId="2" xfId="0" applyNumberFormat="1" applyFont="1" applyBorder="1"/>
    <xf numFmtId="9" fontId="15" fillId="0" borderId="3" xfId="0" applyNumberFormat="1" applyFont="1" applyBorder="1"/>
    <xf numFmtId="0" fontId="12" fillId="0" borderId="10" xfId="0" applyFont="1" applyFill="1" applyBorder="1"/>
    <xf numFmtId="0" fontId="10" fillId="0" borderId="1" xfId="0" applyFont="1" applyFill="1" applyBorder="1"/>
    <xf numFmtId="3" fontId="1" fillId="0" borderId="0" xfId="0" applyNumberFormat="1" applyFont="1" applyFill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3" fillId="5" borderId="3" xfId="0" applyNumberFormat="1" applyFont="1" applyFill="1" applyBorder="1" applyAlignment="1">
      <alignment horizontal="center"/>
    </xf>
    <xf numFmtId="165" fontId="3" fillId="5" borderId="0" xfId="0" applyNumberFormat="1" applyFont="1" applyFill="1" applyBorder="1" applyAlignment="1">
      <alignment horizontal="center"/>
    </xf>
    <xf numFmtId="165" fontId="3" fillId="5" borderId="2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3" fillId="6" borderId="0" xfId="0" applyNumberFormat="1" applyFont="1" applyFill="1" applyBorder="1" applyAlignment="1">
      <alignment horizontal="center"/>
    </xf>
    <xf numFmtId="165" fontId="3" fillId="6" borderId="2" xfId="0" applyNumberFormat="1" applyFont="1" applyFill="1" applyBorder="1" applyAlignment="1">
      <alignment horizontal="center"/>
    </xf>
    <xf numFmtId="165" fontId="3" fillId="4" borderId="0" xfId="0" applyNumberFormat="1" applyFont="1" applyFill="1" applyBorder="1" applyAlignment="1">
      <alignment horizontal="center"/>
    </xf>
    <xf numFmtId="165" fontId="3" fillId="4" borderId="2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165" fontId="3" fillId="3" borderId="0" xfId="0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5" fontId="3" fillId="6" borderId="3" xfId="0" applyNumberFormat="1" applyFont="1" applyFill="1" applyBorder="1" applyAlignment="1">
      <alignment horizontal="center"/>
    </xf>
    <xf numFmtId="165" fontId="3" fillId="4" borderId="3" xfId="0" applyNumberFormat="1" applyFont="1" applyFill="1" applyBorder="1" applyAlignment="1">
      <alignment horizontal="center"/>
    </xf>
    <xf numFmtId="6" fontId="3" fillId="4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center"/>
    </xf>
    <xf numFmtId="6" fontId="3" fillId="5" borderId="0" xfId="0" applyNumberFormat="1" applyFont="1" applyFill="1" applyAlignment="1">
      <alignment horizontal="center"/>
    </xf>
    <xf numFmtId="6" fontId="3" fillId="10" borderId="0" xfId="0" applyNumberFormat="1" applyFont="1" applyFill="1" applyAlignment="1">
      <alignment horizontal="center"/>
    </xf>
  </cellXfs>
  <cellStyles count="7">
    <cellStyle name="Comma" xfId="3" builtinId="3"/>
    <cellStyle name="Currency" xfId="4" builtinId="4"/>
    <cellStyle name="Currency 2" xfId="6"/>
    <cellStyle name="Hyperlink" xfId="1" builtinId="8"/>
    <cellStyle name="Normal" xfId="0" builtinId="0"/>
    <cellStyle name="Normal 2" xfId="5"/>
    <cellStyle name="Percent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7"/>
  <sheetViews>
    <sheetView workbookViewId="0">
      <selection activeCell="L13" sqref="L13"/>
    </sheetView>
  </sheetViews>
  <sheetFormatPr defaultColWidth="8.85546875" defaultRowHeight="12.75" x14ac:dyDescent="0.2"/>
  <cols>
    <col min="1" max="1" width="20.28515625" customWidth="1"/>
    <col min="2" max="2" width="14.28515625" customWidth="1"/>
    <col min="3" max="3" width="15" customWidth="1"/>
    <col min="4" max="4" width="14.85546875" customWidth="1"/>
    <col min="5" max="5" width="10.7109375" customWidth="1"/>
    <col min="6" max="6" width="16.28515625" customWidth="1"/>
    <col min="7" max="7" width="12.7109375" customWidth="1"/>
    <col min="8" max="9" width="12" customWidth="1"/>
    <col min="10" max="10" width="15" bestFit="1" customWidth="1"/>
    <col min="11" max="11" width="12" customWidth="1"/>
    <col min="12" max="12" width="11.140625" bestFit="1" customWidth="1"/>
    <col min="13" max="13" width="13.42578125" customWidth="1"/>
    <col min="14" max="15" width="14.7109375" customWidth="1"/>
    <col min="16" max="16" width="15.7109375" customWidth="1"/>
    <col min="17" max="20" width="11" customWidth="1"/>
  </cols>
  <sheetData>
    <row r="1" spans="1:19" x14ac:dyDescent="0.2">
      <c r="A1" s="4" t="s">
        <v>6</v>
      </c>
    </row>
    <row r="2" spans="1:19" x14ac:dyDescent="0.2">
      <c r="F2" s="197">
        <v>2012</v>
      </c>
      <c r="G2" s="19" t="s">
        <v>30</v>
      </c>
      <c r="H2" s="368"/>
      <c r="I2" s="368"/>
      <c r="J2" s="368"/>
      <c r="K2" s="368"/>
      <c r="M2" s="217" t="s">
        <v>119</v>
      </c>
    </row>
    <row r="3" spans="1:19" x14ac:dyDescent="0.2">
      <c r="B3" t="s">
        <v>69</v>
      </c>
      <c r="F3" s="9" t="s">
        <v>55</v>
      </c>
      <c r="G3" s="19" t="s">
        <v>70</v>
      </c>
      <c r="H3" s="19" t="s">
        <v>71</v>
      </c>
      <c r="I3" s="19" t="s">
        <v>72</v>
      </c>
      <c r="J3" s="19" t="s">
        <v>73</v>
      </c>
      <c r="K3" s="19" t="s">
        <v>74</v>
      </c>
      <c r="M3" s="212" t="s">
        <v>70</v>
      </c>
      <c r="N3" s="212" t="s">
        <v>71</v>
      </c>
      <c r="O3" s="212" t="s">
        <v>72</v>
      </c>
      <c r="P3" s="212" t="s">
        <v>73</v>
      </c>
      <c r="Q3" s="212" t="s">
        <v>74</v>
      </c>
      <c r="S3" t="s">
        <v>53</v>
      </c>
    </row>
    <row r="4" spans="1:19" x14ac:dyDescent="0.2">
      <c r="C4" t="s">
        <v>70</v>
      </c>
      <c r="D4" s="165">
        <v>376</v>
      </c>
      <c r="F4" s="1" t="s">
        <v>35</v>
      </c>
      <c r="G4" s="166">
        <v>540</v>
      </c>
      <c r="H4" s="166">
        <v>579</v>
      </c>
      <c r="I4" s="166">
        <v>695</v>
      </c>
      <c r="J4" s="166">
        <v>803</v>
      </c>
      <c r="K4" s="166">
        <v>896</v>
      </c>
      <c r="L4" t="s">
        <v>53</v>
      </c>
      <c r="M4" s="195">
        <f t="shared" ref="M4:M8" si="0">G4/$D$4</f>
        <v>1.4361702127659575</v>
      </c>
      <c r="N4" s="195">
        <f t="shared" ref="N4:N8" si="1">H4/$D$5</f>
        <v>0.96179401993355484</v>
      </c>
      <c r="O4" s="195">
        <f t="shared" ref="O4:O8" si="2">I4/$D$6</f>
        <v>0.9417344173441734</v>
      </c>
      <c r="P4" s="195">
        <f t="shared" ref="P4:P8" si="3">J4/$D$7</f>
        <v>0.87855579868708966</v>
      </c>
      <c r="Q4" s="195">
        <f t="shared" ref="Q4:Q8" si="4">K4/$D$8</f>
        <v>0.98030634573304154</v>
      </c>
      <c r="S4" t="s">
        <v>53</v>
      </c>
    </row>
    <row r="5" spans="1:19" x14ac:dyDescent="0.2">
      <c r="C5" t="s">
        <v>71</v>
      </c>
      <c r="D5" s="165">
        <v>602</v>
      </c>
      <c r="E5" s="203" t="s">
        <v>53</v>
      </c>
      <c r="F5" s="1" t="s">
        <v>36</v>
      </c>
      <c r="G5" s="166">
        <v>901</v>
      </c>
      <c r="H5" s="228">
        <v>965</v>
      </c>
      <c r="I5" s="228">
        <v>1158</v>
      </c>
      <c r="J5" s="166">
        <v>1339</v>
      </c>
      <c r="K5" s="166">
        <v>1493</v>
      </c>
      <c r="L5" t="s">
        <v>53</v>
      </c>
      <c r="M5" s="195">
        <f t="shared" si="0"/>
        <v>2.396276595744681</v>
      </c>
      <c r="N5" s="195">
        <f t="shared" si="1"/>
        <v>1.6029900332225913</v>
      </c>
      <c r="O5" s="195">
        <f t="shared" si="2"/>
        <v>1.5691056910569106</v>
      </c>
      <c r="P5" s="195">
        <f t="shared" si="3"/>
        <v>1.4649890590809629</v>
      </c>
      <c r="Q5" s="195">
        <f t="shared" si="4"/>
        <v>1.6334792122538293</v>
      </c>
      <c r="S5" t="s">
        <v>53</v>
      </c>
    </row>
    <row r="6" spans="1:19" x14ac:dyDescent="0.2">
      <c r="C6" t="s">
        <v>72</v>
      </c>
      <c r="D6" s="165">
        <v>738</v>
      </c>
      <c r="E6" s="203" t="s">
        <v>53</v>
      </c>
      <c r="F6" s="1" t="s">
        <v>37</v>
      </c>
      <c r="G6" s="166">
        <v>1081</v>
      </c>
      <c r="H6" s="228">
        <v>1158</v>
      </c>
      <c r="I6" s="228">
        <v>1390</v>
      </c>
      <c r="J6" s="166">
        <v>1607</v>
      </c>
      <c r="K6" s="166">
        <v>1792</v>
      </c>
      <c r="L6" t="s">
        <v>53</v>
      </c>
      <c r="M6" s="195">
        <f t="shared" si="0"/>
        <v>2.875</v>
      </c>
      <c r="N6" s="195">
        <f t="shared" si="1"/>
        <v>1.9235880398671097</v>
      </c>
      <c r="O6" s="195">
        <f t="shared" si="2"/>
        <v>1.8834688346883468</v>
      </c>
      <c r="P6" s="195">
        <f t="shared" si="3"/>
        <v>1.7582056892778994</v>
      </c>
      <c r="Q6" s="195">
        <f t="shared" si="4"/>
        <v>1.9606126914660831</v>
      </c>
      <c r="S6" t="s">
        <v>53</v>
      </c>
    </row>
    <row r="7" spans="1:19" x14ac:dyDescent="0.2">
      <c r="C7" t="s">
        <v>73</v>
      </c>
      <c r="D7" s="165">
        <v>914</v>
      </c>
      <c r="F7" s="1" t="s">
        <v>38</v>
      </c>
      <c r="G7" s="166">
        <v>1442</v>
      </c>
      <c r="H7" s="228">
        <v>1545</v>
      </c>
      <c r="I7" s="228">
        <v>1854</v>
      </c>
      <c r="J7" s="166">
        <v>2143</v>
      </c>
      <c r="K7" s="166">
        <v>2390</v>
      </c>
      <c r="L7" t="s">
        <v>53</v>
      </c>
      <c r="M7" s="195">
        <f t="shared" si="0"/>
        <v>3.8351063829787235</v>
      </c>
      <c r="N7" s="195">
        <f t="shared" si="1"/>
        <v>2.5664451827242525</v>
      </c>
      <c r="O7" s="195">
        <f t="shared" si="2"/>
        <v>2.5121951219512195</v>
      </c>
      <c r="P7" s="195">
        <f t="shared" si="3"/>
        <v>2.3446389496717726</v>
      </c>
      <c r="Q7" s="195">
        <f t="shared" si="4"/>
        <v>2.6148796498905909</v>
      </c>
      <c r="S7" t="s">
        <v>53</v>
      </c>
    </row>
    <row r="8" spans="1:19" x14ac:dyDescent="0.2">
      <c r="C8" t="s">
        <v>74</v>
      </c>
      <c r="D8" s="165">
        <v>914</v>
      </c>
      <c r="F8" s="1" t="s">
        <v>39</v>
      </c>
      <c r="G8" s="166">
        <v>1447</v>
      </c>
      <c r="H8" s="228">
        <v>1550</v>
      </c>
      <c r="I8" s="228">
        <v>1860</v>
      </c>
      <c r="J8" s="166">
        <v>2150</v>
      </c>
      <c r="K8" s="166">
        <v>2398</v>
      </c>
      <c r="L8" t="s">
        <v>53</v>
      </c>
      <c r="M8" s="195">
        <f t="shared" si="0"/>
        <v>3.8484042553191489</v>
      </c>
      <c r="N8" s="195">
        <f t="shared" si="1"/>
        <v>2.5747508305647839</v>
      </c>
      <c r="O8" s="195">
        <f t="shared" si="2"/>
        <v>2.5203252032520327</v>
      </c>
      <c r="P8" s="195">
        <f t="shared" si="3"/>
        <v>2.3522975929978118</v>
      </c>
      <c r="Q8" s="195">
        <f t="shared" si="4"/>
        <v>2.62363238512035</v>
      </c>
      <c r="S8" t="s">
        <v>53</v>
      </c>
    </row>
    <row r="9" spans="1:19" x14ac:dyDescent="0.2">
      <c r="D9" s="165"/>
      <c r="F9" s="322" t="s">
        <v>136</v>
      </c>
      <c r="G9" s="166">
        <f>AVERAGE(G8,G10)</f>
        <v>1591.5</v>
      </c>
      <c r="H9" s="166">
        <f t="shared" ref="H9:K9" si="5">AVERAGE(H8,H10)</f>
        <v>1705</v>
      </c>
      <c r="I9" s="166">
        <f t="shared" si="5"/>
        <v>2046</v>
      </c>
      <c r="J9" s="166">
        <f t="shared" si="5"/>
        <v>2365</v>
      </c>
      <c r="K9" s="166">
        <f t="shared" si="5"/>
        <v>2638</v>
      </c>
      <c r="L9" t="s">
        <v>53</v>
      </c>
      <c r="M9" s="195">
        <f>G10/$D$4</f>
        <v>4.6170212765957448</v>
      </c>
      <c r="N9" s="195">
        <f>H10/$D$5</f>
        <v>3.0897009966777409</v>
      </c>
      <c r="O9" s="195">
        <f>I10/$D$6</f>
        <v>3.024390243902439</v>
      </c>
      <c r="P9" s="195">
        <f>J10/$D$7</f>
        <v>2.8227571115973742</v>
      </c>
      <c r="Q9" s="195">
        <f>K10/$D$8</f>
        <v>3.1487964989059081</v>
      </c>
    </row>
    <row r="10" spans="1:19" x14ac:dyDescent="0.2">
      <c r="B10" s="203" t="s">
        <v>123</v>
      </c>
      <c r="C10" s="240">
        <v>0.05</v>
      </c>
      <c r="D10" s="302">
        <f>25</f>
        <v>25</v>
      </c>
      <c r="F10" s="1" t="s">
        <v>40</v>
      </c>
      <c r="G10" s="166">
        <v>1736</v>
      </c>
      <c r="H10" s="228">
        <v>1860</v>
      </c>
      <c r="I10" s="228">
        <v>2232</v>
      </c>
      <c r="J10" s="166">
        <v>2580</v>
      </c>
      <c r="K10" s="166">
        <v>2878</v>
      </c>
      <c r="M10" s="195">
        <f>G11/$D$4</f>
        <v>5.3882978723404253</v>
      </c>
      <c r="N10" s="195">
        <f>H11/$D$5</f>
        <v>3.6046511627906979</v>
      </c>
      <c r="O10" s="195">
        <f>I11/$D$6</f>
        <v>3.5298102981029809</v>
      </c>
      <c r="P10" s="195">
        <f>J11/$D$7</f>
        <v>3.2932166301969366</v>
      </c>
      <c r="Q10" s="195">
        <f>K11/$D$8</f>
        <v>3.6728665207877462</v>
      </c>
    </row>
    <row r="11" spans="1:19" x14ac:dyDescent="0.2">
      <c r="B11" s="203" t="s">
        <v>124</v>
      </c>
      <c r="D11" s="303">
        <v>475</v>
      </c>
      <c r="F11" t="s">
        <v>41</v>
      </c>
      <c r="G11" s="220">
        <v>2026</v>
      </c>
      <c r="H11" s="220">
        <v>2170</v>
      </c>
      <c r="I11" s="220">
        <v>2605</v>
      </c>
      <c r="J11" s="220">
        <v>3010</v>
      </c>
      <c r="K11" s="229">
        <v>3357</v>
      </c>
    </row>
    <row r="12" spans="1:19" x14ac:dyDescent="0.2">
      <c r="B12" s="203" t="s">
        <v>125</v>
      </c>
      <c r="D12" s="241">
        <f>SUM(D10:D11)</f>
        <v>500</v>
      </c>
      <c r="E12" s="203" t="s">
        <v>53</v>
      </c>
      <c r="F12" s="1"/>
      <c r="G12" s="211"/>
      <c r="H12" s="211"/>
      <c r="I12" s="211"/>
      <c r="J12" s="211"/>
      <c r="K12" s="211"/>
    </row>
    <row r="13" spans="1:19" x14ac:dyDescent="0.2">
      <c r="B13" t="s">
        <v>75</v>
      </c>
      <c r="D13" s="167">
        <v>1.2</v>
      </c>
      <c r="E13" s="306" t="s">
        <v>53</v>
      </c>
    </row>
    <row r="14" spans="1:19" x14ac:dyDescent="0.2">
      <c r="B14" s="203" t="s">
        <v>33</v>
      </c>
      <c r="D14" s="168">
        <v>4.4999999999999998E-2</v>
      </c>
    </row>
    <row r="15" spans="1:19" x14ac:dyDescent="0.2">
      <c r="B15" t="s">
        <v>61</v>
      </c>
      <c r="D15" s="168">
        <v>5.5E-2</v>
      </c>
    </row>
    <row r="16" spans="1:19" x14ac:dyDescent="0.2">
      <c r="B16" s="235" t="s">
        <v>122</v>
      </c>
      <c r="D16" s="234">
        <f>Recap!E27/Recap!E26</f>
        <v>6.0802237179105677E-2</v>
      </c>
      <c r="M16" s="62"/>
    </row>
    <row r="17" spans="2:65" x14ac:dyDescent="0.2">
      <c r="B17" t="s">
        <v>42</v>
      </c>
      <c r="D17" s="221" t="s">
        <v>100</v>
      </c>
      <c r="F17" s="221" t="s">
        <v>120</v>
      </c>
      <c r="H17" s="207" t="s">
        <v>32</v>
      </c>
      <c r="I17" s="198" t="s">
        <v>31</v>
      </c>
      <c r="J17" s="331" t="s">
        <v>8</v>
      </c>
      <c r="K17" s="203" t="s">
        <v>52</v>
      </c>
    </row>
    <row r="18" spans="2:65" x14ac:dyDescent="0.2">
      <c r="C18" t="s">
        <v>70</v>
      </c>
      <c r="D18" s="166">
        <v>700</v>
      </c>
      <c r="F18" s="202">
        <v>376</v>
      </c>
      <c r="G18" s="193"/>
      <c r="H18" s="208">
        <f>F18*D18</f>
        <v>263200</v>
      </c>
      <c r="I18" s="164">
        <f>+$D$49*$D$50</f>
        <v>77</v>
      </c>
      <c r="J18" s="193">
        <f>I18*H18</f>
        <v>20266400</v>
      </c>
      <c r="K18" s="219">
        <f>+F18*E50*E49</f>
        <v>94620.4</v>
      </c>
    </row>
    <row r="19" spans="2:65" x14ac:dyDescent="0.2">
      <c r="C19" t="s">
        <v>71</v>
      </c>
      <c r="D19" s="166">
        <v>625</v>
      </c>
      <c r="F19" s="202">
        <v>602</v>
      </c>
      <c r="G19" s="193"/>
      <c r="H19" s="208">
        <f>F19*D19</f>
        <v>376250</v>
      </c>
      <c r="I19" s="164">
        <f>+$D$49*$D$51</f>
        <v>81.400000000000006</v>
      </c>
      <c r="J19" s="193">
        <f>I19*H19</f>
        <v>30626750.000000004</v>
      </c>
      <c r="K19" s="219">
        <f>+F19*E51*E49</f>
        <v>160150.06</v>
      </c>
    </row>
    <row r="20" spans="2:65" x14ac:dyDescent="0.2">
      <c r="C20" t="s">
        <v>72</v>
      </c>
      <c r="D20" s="166">
        <v>600</v>
      </c>
      <c r="F20" s="202">
        <v>738</v>
      </c>
      <c r="G20" s="193"/>
      <c r="H20" s="208">
        <f>F20*D20</f>
        <v>442800</v>
      </c>
      <c r="I20" s="164">
        <f>+$D$49*$D$52</f>
        <v>35.200000000000003</v>
      </c>
      <c r="J20" s="193">
        <f>I20*H20</f>
        <v>15586560.000000002</v>
      </c>
      <c r="K20" s="219">
        <f>+F20*E52*E49</f>
        <v>84899.520000000004</v>
      </c>
    </row>
    <row r="21" spans="2:65" x14ac:dyDescent="0.2">
      <c r="C21" t="s">
        <v>73</v>
      </c>
      <c r="D21" s="166">
        <v>450</v>
      </c>
      <c r="F21" s="202">
        <v>914</v>
      </c>
      <c r="G21" s="242" t="s">
        <v>53</v>
      </c>
      <c r="H21" s="208">
        <f>F21*D21</f>
        <v>411300</v>
      </c>
      <c r="I21" s="164">
        <f>+$D$49*$D$53</f>
        <v>26.4</v>
      </c>
      <c r="J21" s="193">
        <f>I21*H21</f>
        <v>10858320</v>
      </c>
      <c r="K21" s="219">
        <f>+F21*E53*E49</f>
        <v>78859.92</v>
      </c>
    </row>
    <row r="22" spans="2:65" x14ac:dyDescent="0.2">
      <c r="C22" t="s">
        <v>74</v>
      </c>
      <c r="D22" s="166">
        <v>450</v>
      </c>
      <c r="F22" s="202">
        <v>914</v>
      </c>
      <c r="G22" s="242" t="s">
        <v>53</v>
      </c>
      <c r="H22" s="209">
        <f>F22*D22</f>
        <v>411300</v>
      </c>
    </row>
    <row r="23" spans="2:65" x14ac:dyDescent="0.2">
      <c r="I23" s="193">
        <f>SUM(I18:I22)</f>
        <v>220.00000000000003</v>
      </c>
      <c r="J23" s="193">
        <f>SUM(J18:J22)</f>
        <v>77338030</v>
      </c>
      <c r="K23" s="210">
        <f>SUM(K18:K22)</f>
        <v>418529.89999999997</v>
      </c>
    </row>
    <row r="24" spans="2:65" ht="11.25" customHeight="1" x14ac:dyDescent="0.2">
      <c r="I24" s="193"/>
      <c r="J24" s="193"/>
      <c r="K24" s="210"/>
    </row>
    <row r="25" spans="2:65" hidden="1" x14ac:dyDescent="0.2"/>
    <row r="26" spans="2:65" hidden="1" x14ac:dyDescent="0.2">
      <c r="D26" t="s">
        <v>11</v>
      </c>
      <c r="G26" t="s">
        <v>12</v>
      </c>
    </row>
    <row r="27" spans="2:65" hidden="1" x14ac:dyDescent="0.2">
      <c r="C27" t="s">
        <v>70</v>
      </c>
      <c r="D27" s="171">
        <f>IF($K$35="No",(D4*D18)*0.09*10*0.83,(D4*D18)*0.09*10*0.83*1.3)*0.8</f>
        <v>157288.32000000001</v>
      </c>
      <c r="F27" t="s">
        <v>70</v>
      </c>
      <c r="G27" s="171">
        <f>IF($K$35="No",(D4*D18)*0.034*10*0.83,(D4*D18)*0.034*10*0.83*1.3)*0.7</f>
        <v>51992.528000000006</v>
      </c>
      <c r="BM27" t="s">
        <v>16</v>
      </c>
    </row>
    <row r="28" spans="2:65" hidden="1" x14ac:dyDescent="0.2">
      <c r="C28" t="s">
        <v>71</v>
      </c>
      <c r="D28" s="171">
        <f>IF($K$35="No",(D5*D19)*0.09*10*0.83,(D5*D19)*0.09*10*0.83*1.3)*0.8</f>
        <v>224847</v>
      </c>
      <c r="F28" t="s">
        <v>71</v>
      </c>
      <c r="G28" s="171">
        <f>IF($K$35="No",(D5*D19)*0.034*10*0.83,(D5*D19)*0.034*10*0.83*1.3)*0.8</f>
        <v>84942.200000000012</v>
      </c>
      <c r="BM28" t="s">
        <v>17</v>
      </c>
    </row>
    <row r="29" spans="2:65" hidden="1" x14ac:dyDescent="0.2">
      <c r="C29" t="s">
        <v>72</v>
      </c>
      <c r="D29" s="171">
        <f>IF($K$35="No",(D6*D20)*0.09*10*0.83,(D6*D20)*0.09*10*0.83*1.3)*0.8</f>
        <v>264617.27999999997</v>
      </c>
      <c r="F29" t="s">
        <v>72</v>
      </c>
      <c r="G29" s="171">
        <f>IF($K$35="No",(D6*D20)*0.034*10*0.83,(D6*D20)*0.034*10*0.83*1.3)*0.8</f>
        <v>99966.527999999991</v>
      </c>
    </row>
    <row r="30" spans="2:65" hidden="1" x14ac:dyDescent="0.2">
      <c r="C30" t="s">
        <v>73</v>
      </c>
      <c r="D30" s="171">
        <f>IF($K$35="No",(D7*D21)*0.09*10*0.83,(D7*D21)*0.09*10*0.83*1.3)*0.8</f>
        <v>245792.88</v>
      </c>
      <c r="F30" t="s">
        <v>73</v>
      </c>
      <c r="G30" s="171">
        <f>IF($K$35="No",(D7*D21)*0.034*10*0.83,(D7*D21)*0.034*10*0.83*1.3)*0.8</f>
        <v>92855.088000000003</v>
      </c>
    </row>
    <row r="31" spans="2:65" hidden="1" x14ac:dyDescent="0.2">
      <c r="C31" t="s">
        <v>74</v>
      </c>
      <c r="D31" s="171">
        <f>IF($K$35="No",(D8*D22)*0.09*10*0.83,(D8*D22)*0.09*10*0.83*1.3)*0.8</f>
        <v>245792.88</v>
      </c>
      <c r="F31" t="s">
        <v>74</v>
      </c>
      <c r="G31" s="171">
        <f>IF($K$35="No",(D8*D22)*0.034*10*0.83,(D8*D22)*0.034*10*0.83*1.3)*0.8</f>
        <v>92855.088000000003</v>
      </c>
    </row>
    <row r="32" spans="2:65" hidden="1" x14ac:dyDescent="0.2"/>
    <row r="34" spans="1:19" x14ac:dyDescent="0.2">
      <c r="N34" s="203" t="s">
        <v>53</v>
      </c>
    </row>
    <row r="35" spans="1:19" x14ac:dyDescent="0.2">
      <c r="A35" s="4" t="s">
        <v>7</v>
      </c>
      <c r="I35" s="169" t="s">
        <v>15</v>
      </c>
      <c r="K35" s="170" t="s">
        <v>16</v>
      </c>
    </row>
    <row r="36" spans="1:19" x14ac:dyDescent="0.2">
      <c r="D36" s="243" t="s">
        <v>53</v>
      </c>
      <c r="E36" s="243" t="s">
        <v>53</v>
      </c>
      <c r="F36" s="4" t="s">
        <v>53</v>
      </c>
      <c r="J36" s="200"/>
      <c r="K36" s="239"/>
    </row>
    <row r="37" spans="1:19" x14ac:dyDescent="0.2">
      <c r="B37" t="s">
        <v>55</v>
      </c>
      <c r="D37" s="162" t="s">
        <v>8</v>
      </c>
      <c r="E37" s="162" t="s">
        <v>9</v>
      </c>
      <c r="F37" s="162" t="s">
        <v>10</v>
      </c>
      <c r="H37" s="162"/>
      <c r="I37" s="198" t="s">
        <v>31</v>
      </c>
      <c r="J37" s="331" t="s">
        <v>9</v>
      </c>
      <c r="K37" s="218"/>
      <c r="L37" s="368"/>
      <c r="M37" s="368"/>
      <c r="N37" s="368"/>
      <c r="O37" s="368"/>
      <c r="P37" s="214"/>
      <c r="Q37" s="214"/>
    </row>
    <row r="38" spans="1:19" x14ac:dyDescent="0.2">
      <c r="C38">
        <v>30</v>
      </c>
      <c r="D38" s="325">
        <v>0</v>
      </c>
      <c r="E38" s="325">
        <v>0</v>
      </c>
      <c r="F38" s="325">
        <v>0</v>
      </c>
      <c r="H38" s="199"/>
      <c r="I38" s="164">
        <f>+$E$49*$E$50</f>
        <v>251.64999999999998</v>
      </c>
      <c r="J38" s="210">
        <f>I38*H18</f>
        <v>66234279.999999993</v>
      </c>
      <c r="K38" s="218"/>
      <c r="L38" s="218"/>
      <c r="M38" s="218"/>
      <c r="N38" s="218"/>
      <c r="O38" s="218"/>
      <c r="P38" s="215"/>
      <c r="Q38" s="215"/>
      <c r="R38" s="198"/>
      <c r="S38" s="199"/>
    </row>
    <row r="39" spans="1:19" x14ac:dyDescent="0.2">
      <c r="C39">
        <v>50</v>
      </c>
      <c r="D39" s="325">
        <v>0</v>
      </c>
      <c r="E39" s="325">
        <v>0</v>
      </c>
      <c r="F39" s="325">
        <v>0</v>
      </c>
      <c r="I39" s="164">
        <f>+$E$49*$E$51</f>
        <v>266.02999999999997</v>
      </c>
      <c r="J39" s="210">
        <f>I39*H19</f>
        <v>100093787.49999999</v>
      </c>
      <c r="K39" s="291"/>
      <c r="L39" s="291"/>
      <c r="M39" s="291"/>
      <c r="N39" s="291"/>
      <c r="O39" s="291"/>
      <c r="P39" s="193"/>
      <c r="Q39" s="193"/>
      <c r="S39" s="193"/>
    </row>
    <row r="40" spans="1:19" x14ac:dyDescent="0.2">
      <c r="C40">
        <v>60</v>
      </c>
      <c r="D40" s="325">
        <v>0</v>
      </c>
      <c r="E40" s="325">
        <v>0</v>
      </c>
      <c r="F40" s="325">
        <v>0</v>
      </c>
      <c r="I40" s="164">
        <f>+$E$49*$E$52</f>
        <v>115.04</v>
      </c>
      <c r="J40" s="210">
        <f>I40*H20</f>
        <v>50939712</v>
      </c>
      <c r="K40" s="291"/>
      <c r="L40" s="291"/>
      <c r="M40" s="291"/>
      <c r="N40" s="291"/>
      <c r="O40" s="291"/>
      <c r="P40" s="193"/>
      <c r="Q40" s="193"/>
      <c r="S40" s="193"/>
    </row>
    <row r="41" spans="1:19" x14ac:dyDescent="0.2">
      <c r="C41">
        <v>80</v>
      </c>
      <c r="D41" s="325">
        <v>0</v>
      </c>
      <c r="E41" s="325">
        <v>0.73574399999999995</v>
      </c>
      <c r="F41" s="325">
        <v>0.563365</v>
      </c>
      <c r="I41" s="164">
        <f>+$E$49*$E$53</f>
        <v>86.28</v>
      </c>
      <c r="J41" s="210">
        <f>I41*H21</f>
        <v>35486964</v>
      </c>
      <c r="K41" s="291"/>
      <c r="L41" s="291"/>
      <c r="M41" s="291"/>
      <c r="N41" s="291"/>
      <c r="O41" s="291"/>
      <c r="P41" s="195"/>
      <c r="Q41" s="195"/>
      <c r="S41" s="193"/>
    </row>
    <row r="42" spans="1:19" x14ac:dyDescent="0.2">
      <c r="C42">
        <v>100</v>
      </c>
      <c r="D42" s="325">
        <v>0</v>
      </c>
      <c r="E42" s="325">
        <v>0</v>
      </c>
      <c r="F42" s="325">
        <v>0</v>
      </c>
      <c r="J42" s="210"/>
      <c r="K42" s="291"/>
      <c r="L42" s="291"/>
      <c r="M42" s="291"/>
      <c r="N42" s="291"/>
      <c r="O42" s="291"/>
      <c r="P42" s="193"/>
      <c r="Q42" s="193"/>
      <c r="S42" s="193"/>
    </row>
    <row r="43" spans="1:19" x14ac:dyDescent="0.2">
      <c r="C43">
        <v>110</v>
      </c>
      <c r="D43" s="325">
        <v>0</v>
      </c>
      <c r="E43" s="325">
        <v>0</v>
      </c>
      <c r="F43" s="325">
        <v>0</v>
      </c>
      <c r="I43" s="210">
        <f t="shared" ref="I43:J43" si="6">SUM(I38:I42)</f>
        <v>718.99999999999989</v>
      </c>
      <c r="J43" s="210">
        <f t="shared" si="6"/>
        <v>252754743.49999997</v>
      </c>
      <c r="K43" s="291"/>
      <c r="L43" s="291"/>
      <c r="M43" s="291"/>
      <c r="N43" s="291"/>
      <c r="O43" s="291"/>
      <c r="P43" s="193"/>
      <c r="Q43" s="193"/>
      <c r="S43" s="193"/>
    </row>
    <row r="44" spans="1:19" x14ac:dyDescent="0.2">
      <c r="C44">
        <v>120</v>
      </c>
      <c r="D44" s="325">
        <v>0</v>
      </c>
      <c r="E44" s="325">
        <v>0.26425599999999999</v>
      </c>
      <c r="F44" s="325">
        <v>0.202343</v>
      </c>
      <c r="J44" s="365"/>
      <c r="K44" s="291"/>
      <c r="L44" s="291"/>
      <c r="M44" s="291"/>
      <c r="N44" s="291"/>
      <c r="O44" s="291"/>
      <c r="P44" s="193"/>
      <c r="Q44" s="195"/>
      <c r="S44" s="193"/>
    </row>
    <row r="45" spans="1:19" x14ac:dyDescent="0.2">
      <c r="C45">
        <v>140</v>
      </c>
      <c r="D45" s="326">
        <v>1</v>
      </c>
      <c r="E45" s="326">
        <v>0</v>
      </c>
      <c r="F45" s="326">
        <v>0.23499999999999999</v>
      </c>
      <c r="I45" s="198" t="s">
        <v>31</v>
      </c>
      <c r="J45" s="366" t="s">
        <v>10</v>
      </c>
      <c r="K45" s="291"/>
      <c r="L45" s="291"/>
      <c r="M45" s="291"/>
      <c r="N45" s="291"/>
      <c r="O45" s="291"/>
      <c r="P45" s="193"/>
      <c r="Q45" s="193"/>
      <c r="S45" s="193"/>
    </row>
    <row r="46" spans="1:19" x14ac:dyDescent="0.2">
      <c r="C46" t="s">
        <v>54</v>
      </c>
      <c r="D46" s="163">
        <f>SUM(D38:D45)</f>
        <v>1</v>
      </c>
      <c r="E46" s="163">
        <f>SUM(E38:E45)</f>
        <v>1</v>
      </c>
      <c r="F46" s="163">
        <f>SUM(F38:F45)</f>
        <v>1.0007079999999999</v>
      </c>
      <c r="I46" s="164">
        <f>+$F$49*$F$50</f>
        <v>328.65</v>
      </c>
      <c r="J46" s="210">
        <f>I46*H18</f>
        <v>86500680</v>
      </c>
      <c r="K46" s="216"/>
      <c r="L46" s="216"/>
      <c r="M46" s="216"/>
      <c r="N46" s="216"/>
      <c r="O46" s="196"/>
      <c r="P46" s="196"/>
      <c r="Q46" s="196"/>
      <c r="R46" s="196"/>
      <c r="S46" s="193"/>
    </row>
    <row r="47" spans="1:19" x14ac:dyDescent="0.2">
      <c r="D47" s="161"/>
      <c r="I47" s="164">
        <f>+$F$49*$F$51</f>
        <v>347.43</v>
      </c>
      <c r="J47" s="210">
        <f>I47*H19</f>
        <v>130720537.5</v>
      </c>
      <c r="K47" s="192"/>
    </row>
    <row r="48" spans="1:19" x14ac:dyDescent="0.2">
      <c r="B48" t="s">
        <v>79</v>
      </c>
      <c r="I48" s="164">
        <f>+$F$49*$F$52</f>
        <v>150.24</v>
      </c>
      <c r="J48" s="210">
        <f>I48*H20</f>
        <v>66526272.000000007</v>
      </c>
      <c r="K48" s="192"/>
      <c r="O48" s="193"/>
      <c r="P48" s="193"/>
      <c r="Q48" s="193"/>
      <c r="R48" s="195"/>
      <c r="S48" s="195"/>
    </row>
    <row r="49" spans="1:20" x14ac:dyDescent="0.2">
      <c r="C49" t="s">
        <v>80</v>
      </c>
      <c r="D49" s="327">
        <v>220</v>
      </c>
      <c r="E49" s="327">
        <v>719</v>
      </c>
      <c r="F49" s="327">
        <v>939</v>
      </c>
      <c r="I49" s="164">
        <f>+$F$49*$F$53</f>
        <v>112.67999999999999</v>
      </c>
      <c r="J49" s="210">
        <f>I49*H21</f>
        <v>46345284</v>
      </c>
      <c r="Q49" s="203"/>
      <c r="R49" s="203"/>
    </row>
    <row r="50" spans="1:20" x14ac:dyDescent="0.2">
      <c r="C50" s="203" t="s">
        <v>49</v>
      </c>
      <c r="D50" s="330">
        <v>0.35</v>
      </c>
      <c r="E50" s="330">
        <v>0.35</v>
      </c>
      <c r="F50" s="330">
        <v>0.35</v>
      </c>
      <c r="J50" s="210"/>
      <c r="Q50" s="203"/>
      <c r="R50" s="203"/>
    </row>
    <row r="51" spans="1:20" x14ac:dyDescent="0.2">
      <c r="C51" t="s">
        <v>81</v>
      </c>
      <c r="D51" s="328">
        <v>0.37</v>
      </c>
      <c r="E51" s="328">
        <v>0.37</v>
      </c>
      <c r="F51" s="328">
        <v>0.37</v>
      </c>
      <c r="I51" s="210">
        <f>SUM(I46:I50)</f>
        <v>938.99999999999989</v>
      </c>
      <c r="J51" s="210">
        <f>SUM(J46:J50)</f>
        <v>330092773.5</v>
      </c>
      <c r="Q51" s="203"/>
      <c r="R51" s="203"/>
      <c r="S51" s="195"/>
    </row>
    <row r="52" spans="1:20" x14ac:dyDescent="0.2">
      <c r="C52" t="s">
        <v>82</v>
      </c>
      <c r="D52" s="328">
        <v>0.16</v>
      </c>
      <c r="E52" s="328">
        <v>0.16</v>
      </c>
      <c r="F52" s="328">
        <v>0.16</v>
      </c>
      <c r="Q52" s="203"/>
      <c r="R52" s="203"/>
      <c r="S52" s="195"/>
    </row>
    <row r="53" spans="1:20" x14ac:dyDescent="0.2">
      <c r="C53" t="s">
        <v>83</v>
      </c>
      <c r="D53" s="329">
        <v>0.12</v>
      </c>
      <c r="E53" s="329">
        <v>0.12</v>
      </c>
      <c r="F53" s="329">
        <v>0.12</v>
      </c>
      <c r="Q53" s="203"/>
      <c r="R53" s="203"/>
      <c r="S53" s="195"/>
    </row>
    <row r="54" spans="1:20" x14ac:dyDescent="0.2">
      <c r="C54" t="s">
        <v>80</v>
      </c>
      <c r="D54" s="164">
        <f>'Development Analysis'!L4+'Development Analysis'!O4+'Development Analysis'!R4+'Development Analysis'!I4</f>
        <v>220</v>
      </c>
      <c r="E54" s="164">
        <f>'Development Analysis'!L45+'Development Analysis'!O45+'Development Analysis'!R45+'Development Analysis'!I45</f>
        <v>719</v>
      </c>
      <c r="F54" s="164">
        <f>'Development Analysis'!L86+'Development Analysis'!O86+'Development Analysis'!R86+'Development Analysis'!I86</f>
        <v>939</v>
      </c>
    </row>
    <row r="56" spans="1:20" x14ac:dyDescent="0.2">
      <c r="O56" s="197"/>
      <c r="P56" s="367"/>
      <c r="Q56" s="367"/>
      <c r="R56" s="367"/>
      <c r="S56" s="367"/>
      <c r="T56" s="367"/>
    </row>
    <row r="57" spans="1:20" x14ac:dyDescent="0.2">
      <c r="O57" s="9"/>
      <c r="P57" s="19"/>
      <c r="Q57" s="19"/>
      <c r="R57" s="19"/>
      <c r="S57" s="19"/>
      <c r="T57" s="19"/>
    </row>
    <row r="58" spans="1:20" hidden="1" x14ac:dyDescent="0.2">
      <c r="A58" s="267" t="s">
        <v>134</v>
      </c>
    </row>
    <row r="59" spans="1:20" hidden="1" x14ac:dyDescent="0.2">
      <c r="A59" s="245"/>
      <c r="B59" s="246"/>
      <c r="C59" s="247" t="s">
        <v>126</v>
      </c>
      <c r="D59" s="248"/>
      <c r="E59" s="288"/>
      <c r="F59" s="247" t="s">
        <v>127</v>
      </c>
      <c r="G59" s="249"/>
    </row>
    <row r="60" spans="1:20" hidden="1" x14ac:dyDescent="0.2">
      <c r="A60" s="250"/>
      <c r="B60" s="251" t="s">
        <v>31</v>
      </c>
      <c r="C60" s="252" t="s">
        <v>8</v>
      </c>
      <c r="D60" s="253" t="s">
        <v>78</v>
      </c>
      <c r="E60" s="251" t="s">
        <v>31</v>
      </c>
      <c r="F60" s="252" t="s">
        <v>9</v>
      </c>
      <c r="G60" s="254"/>
    </row>
    <row r="61" spans="1:20" hidden="1" x14ac:dyDescent="0.2">
      <c r="A61" s="250"/>
      <c r="B61" s="255">
        <f>+$D$49*$D$50</f>
        <v>77</v>
      </c>
      <c r="C61" s="256">
        <f>B61*D27</f>
        <v>12111200.640000001</v>
      </c>
      <c r="D61" s="253"/>
      <c r="E61" s="255">
        <f>+$E$49*$E$50</f>
        <v>251.64999999999998</v>
      </c>
      <c r="F61" s="257">
        <f>E61*G27</f>
        <v>13083919.6712</v>
      </c>
      <c r="G61" s="254"/>
    </row>
    <row r="62" spans="1:20" hidden="1" x14ac:dyDescent="0.2">
      <c r="A62" s="250"/>
      <c r="B62" s="255">
        <f>+$D$49*$D$51</f>
        <v>81.400000000000006</v>
      </c>
      <c r="C62" s="257">
        <f>B62*D28</f>
        <v>18302545.800000001</v>
      </c>
      <c r="D62" s="253"/>
      <c r="E62" s="255">
        <f>+$E$49*$E$51</f>
        <v>266.02999999999997</v>
      </c>
      <c r="F62" s="257">
        <f>E62*G28</f>
        <v>22597173.466000002</v>
      </c>
      <c r="G62" s="254"/>
    </row>
    <row r="63" spans="1:20" hidden="1" x14ac:dyDescent="0.2">
      <c r="A63" s="250"/>
      <c r="B63" s="255">
        <f>+$D$49*$D$52</f>
        <v>35.200000000000003</v>
      </c>
      <c r="C63" s="256">
        <f>B63*D29</f>
        <v>9314528.2559999991</v>
      </c>
      <c r="D63" s="253"/>
      <c r="E63" s="255">
        <f>+$E$49*$E$52</f>
        <v>115.04</v>
      </c>
      <c r="F63" s="257">
        <f>E63*G29</f>
        <v>11500149.38112</v>
      </c>
      <c r="G63" s="254"/>
    </row>
    <row r="64" spans="1:20" hidden="1" x14ac:dyDescent="0.2">
      <c r="A64" s="250"/>
      <c r="B64" s="255">
        <f>+$D$49*$D$53</f>
        <v>26.4</v>
      </c>
      <c r="C64" s="256">
        <f>B64*D30</f>
        <v>6488932.0319999997</v>
      </c>
      <c r="D64" s="253"/>
      <c r="E64" s="255">
        <f>+$E$49*$E$53</f>
        <v>86.28</v>
      </c>
      <c r="F64" s="257">
        <f>E64*G30</f>
        <v>8011536.9926400008</v>
      </c>
      <c r="G64" s="254"/>
    </row>
    <row r="65" spans="1:20" hidden="1" x14ac:dyDescent="0.2">
      <c r="A65" s="250"/>
      <c r="B65" s="253"/>
      <c r="C65" s="256"/>
      <c r="D65" s="253"/>
      <c r="E65" s="253"/>
      <c r="F65" s="257"/>
      <c r="G65" s="254"/>
    </row>
    <row r="66" spans="1:20" hidden="1" x14ac:dyDescent="0.2">
      <c r="A66" s="250"/>
      <c r="B66" s="257">
        <f>SUM(B61:B65)</f>
        <v>220.00000000000003</v>
      </c>
      <c r="C66" s="257">
        <f>SUM(C61:C65)</f>
        <v>46217206.728</v>
      </c>
      <c r="D66" s="253"/>
      <c r="E66" s="257">
        <f>SUM(E61:E65)</f>
        <v>718.99999999999989</v>
      </c>
      <c r="F66" s="257">
        <f>SUM(F61:F65)</f>
        <v>55192779.510959998</v>
      </c>
      <c r="G66" s="254"/>
    </row>
    <row r="67" spans="1:20" hidden="1" x14ac:dyDescent="0.2">
      <c r="A67" s="258"/>
      <c r="B67" s="259"/>
      <c r="C67" s="259"/>
      <c r="D67" s="259"/>
      <c r="E67" s="259"/>
      <c r="F67" s="259"/>
      <c r="G67" s="260"/>
      <c r="H67" s="162"/>
    </row>
    <row r="68" spans="1:20" hidden="1" x14ac:dyDescent="0.2">
      <c r="H68" s="9"/>
    </row>
    <row r="69" spans="1:20" hidden="1" x14ac:dyDescent="0.2">
      <c r="A69" s="203" t="s">
        <v>48</v>
      </c>
      <c r="B69" s="222" t="s">
        <v>47</v>
      </c>
      <c r="C69" s="217"/>
      <c r="D69" s="217" t="s">
        <v>54</v>
      </c>
      <c r="E69" s="217" t="s">
        <v>26</v>
      </c>
      <c r="F69" s="217" t="s">
        <v>121</v>
      </c>
      <c r="H69" s="1"/>
    </row>
    <row r="70" spans="1:20" hidden="1" x14ac:dyDescent="0.2">
      <c r="A70" s="261">
        <v>0.15</v>
      </c>
      <c r="B70" s="203" t="s">
        <v>44</v>
      </c>
      <c r="D70" s="193">
        <f>+D73*A70</f>
        <v>11600704.5</v>
      </c>
      <c r="E70" s="193">
        <f>D70/$I$23</f>
        <v>52730.474999999991</v>
      </c>
      <c r="F70" s="195">
        <f>+D70/$K$23</f>
        <v>27.717743702421263</v>
      </c>
      <c r="H70" s="1"/>
    </row>
    <row r="71" spans="1:20" hidden="1" x14ac:dyDescent="0.2">
      <c r="A71" s="262">
        <v>0.75</v>
      </c>
      <c r="B71" s="203" t="s">
        <v>45</v>
      </c>
      <c r="D71" s="193">
        <f>+D73*A71</f>
        <v>58003522.5</v>
      </c>
      <c r="E71" s="193">
        <f>D71/$I$23</f>
        <v>263652.37499999994</v>
      </c>
      <c r="F71" s="195">
        <f>+D71/$K$23</f>
        <v>138.58871851210631</v>
      </c>
      <c r="H71" s="1"/>
    </row>
    <row r="72" spans="1:20" hidden="1" x14ac:dyDescent="0.2">
      <c r="A72" s="263">
        <v>0.1</v>
      </c>
      <c r="B72" s="203" t="s">
        <v>46</v>
      </c>
      <c r="D72" s="193">
        <f>+D73*A72</f>
        <v>7733803</v>
      </c>
      <c r="E72" s="193">
        <f>D72/$I$23</f>
        <v>35153.649999999994</v>
      </c>
      <c r="F72" s="195">
        <f>+D72/$K$23</f>
        <v>18.478495801614176</v>
      </c>
      <c r="H72" s="1"/>
    </row>
    <row r="73" spans="1:20" hidden="1" x14ac:dyDescent="0.2">
      <c r="B73" s="4" t="s">
        <v>43</v>
      </c>
      <c r="C73" s="4"/>
      <c r="D73" s="230">
        <f>+J23</f>
        <v>77338030</v>
      </c>
      <c r="E73" s="230">
        <f>D73/$I$23</f>
        <v>351536.49999999994</v>
      </c>
      <c r="F73" s="231">
        <f>+D73/$K$23</f>
        <v>184.78495801614176</v>
      </c>
      <c r="H73" s="1"/>
    </row>
    <row r="74" spans="1:20" x14ac:dyDescent="0.2">
      <c r="H74" s="1"/>
    </row>
    <row r="75" spans="1:20" x14ac:dyDescent="0.2">
      <c r="H75" s="1"/>
    </row>
    <row r="76" spans="1:20" x14ac:dyDescent="0.2">
      <c r="H76" s="1"/>
    </row>
    <row r="78" spans="1:20" x14ac:dyDescent="0.2">
      <c r="H78" s="162"/>
      <c r="J78" s="192"/>
      <c r="O78" s="162"/>
      <c r="Q78" s="192"/>
    </row>
    <row r="79" spans="1:20" x14ac:dyDescent="0.2">
      <c r="H79" s="9"/>
      <c r="I79" s="19"/>
      <c r="J79" s="19"/>
      <c r="K79" s="19"/>
      <c r="L79" s="19"/>
      <c r="M79" s="19"/>
      <c r="O79" s="9"/>
      <c r="P79" s="19"/>
      <c r="Q79" s="19"/>
      <c r="R79" s="19"/>
      <c r="S79" s="19"/>
      <c r="T79" s="19"/>
    </row>
    <row r="80" spans="1:20" x14ac:dyDescent="0.2">
      <c r="H80" s="1"/>
      <c r="I80" s="193"/>
      <c r="J80" s="193"/>
      <c r="K80" s="193"/>
      <c r="L80" s="193"/>
      <c r="M80" s="193"/>
      <c r="O80" s="1"/>
      <c r="P80" s="193"/>
      <c r="Q80" s="193"/>
      <c r="R80" s="193"/>
      <c r="S80" s="193"/>
      <c r="T80" s="193"/>
    </row>
    <row r="81" spans="8:20" x14ac:dyDescent="0.2">
      <c r="H81" s="1"/>
      <c r="I81" s="193"/>
      <c r="J81" s="193"/>
      <c r="K81" s="193"/>
      <c r="L81" s="193"/>
      <c r="M81" s="193"/>
      <c r="O81" s="1"/>
      <c r="P81" s="193"/>
      <c r="Q81" s="193"/>
      <c r="R81" s="193"/>
      <c r="S81" s="193"/>
      <c r="T81" s="193"/>
    </row>
    <row r="82" spans="8:20" x14ac:dyDescent="0.2">
      <c r="H82" s="1"/>
      <c r="I82" s="193"/>
      <c r="J82" s="193"/>
      <c r="K82" s="193"/>
      <c r="L82" s="193"/>
      <c r="M82" s="193"/>
      <c r="O82" s="1"/>
      <c r="P82" s="193"/>
      <c r="Q82" s="193"/>
      <c r="R82" s="193"/>
      <c r="S82" s="193"/>
      <c r="T82" s="193"/>
    </row>
    <row r="83" spans="8:20" x14ac:dyDescent="0.2">
      <c r="H83" s="1"/>
      <c r="I83" s="193"/>
      <c r="J83" s="193"/>
      <c r="K83" s="193"/>
      <c r="L83" s="193"/>
      <c r="M83" s="193"/>
      <c r="O83" s="1"/>
      <c r="P83" s="193"/>
      <c r="Q83" s="193"/>
      <c r="R83" s="193"/>
      <c r="S83" s="193"/>
      <c r="T83" s="193"/>
    </row>
    <row r="84" spans="8:20" x14ac:dyDescent="0.2">
      <c r="H84" s="1"/>
      <c r="I84" s="193"/>
      <c r="J84" s="193"/>
      <c r="K84" s="193"/>
      <c r="L84" s="193"/>
      <c r="M84" s="193"/>
      <c r="O84" s="1"/>
      <c r="P84" s="193"/>
      <c r="Q84" s="193"/>
      <c r="R84" s="193"/>
      <c r="S84" s="193"/>
      <c r="T84" s="193"/>
    </row>
    <row r="85" spans="8:20" x14ac:dyDescent="0.2">
      <c r="H85" s="1"/>
      <c r="I85" s="193"/>
      <c r="J85" s="193"/>
      <c r="K85" s="193"/>
      <c r="L85" s="193"/>
      <c r="M85" s="193"/>
      <c r="O85" s="1"/>
      <c r="P85" s="193"/>
      <c r="Q85" s="193"/>
      <c r="R85" s="193"/>
      <c r="S85" s="193"/>
      <c r="T85" s="193"/>
    </row>
    <row r="86" spans="8:20" x14ac:dyDescent="0.2">
      <c r="H86" s="1"/>
      <c r="I86" s="193"/>
      <c r="J86" s="193"/>
      <c r="K86" s="193"/>
      <c r="L86" s="193"/>
      <c r="M86" s="193"/>
      <c r="O86" s="1"/>
      <c r="P86" s="193"/>
      <c r="Q86" s="193"/>
      <c r="R86" s="193"/>
      <c r="S86" s="193"/>
      <c r="T86" s="193"/>
    </row>
    <row r="87" spans="8:20" x14ac:dyDescent="0.2">
      <c r="H87" s="1"/>
      <c r="I87" s="193"/>
      <c r="J87" s="193"/>
      <c r="K87" s="193"/>
      <c r="L87" s="193"/>
      <c r="M87" s="193"/>
      <c r="O87" s="1"/>
      <c r="P87" s="193"/>
      <c r="Q87" s="193"/>
      <c r="R87" s="193"/>
      <c r="S87" s="193"/>
      <c r="T87" s="193"/>
    </row>
  </sheetData>
  <sheetProtection password="CA39" sheet="1" objects="1" scenarios="1"/>
  <mergeCells count="3">
    <mergeCell ref="P56:T56"/>
    <mergeCell ref="H2:K2"/>
    <mergeCell ref="L37:O37"/>
  </mergeCells>
  <phoneticPr fontId="2" type="noConversion"/>
  <dataValidations count="1">
    <dataValidation type="list" allowBlank="1" showInputMessage="1" showErrorMessage="1" sqref="K35">
      <formula1>$BM$27:$BM$28</formula1>
    </dataValidation>
  </dataValidations>
  <pageMargins left="0.75" right="0.75" top="1" bottom="1" header="0.5" footer="0.5"/>
  <pageSetup scale="55" orientation="landscape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4"/>
  <sheetViews>
    <sheetView workbookViewId="0">
      <selection activeCell="C13" sqref="C13"/>
    </sheetView>
  </sheetViews>
  <sheetFormatPr defaultColWidth="9.140625" defaultRowHeight="12.75" x14ac:dyDescent="0.2"/>
  <cols>
    <col min="1" max="1" width="9.140625" style="20"/>
    <col min="2" max="2" width="13.140625" style="1" customWidth="1"/>
    <col min="3" max="3" width="11.42578125" style="62" customWidth="1"/>
    <col min="4" max="4" width="10.85546875" style="1" customWidth="1"/>
    <col min="5" max="5" width="10.85546875" style="52" customWidth="1"/>
    <col min="6" max="6" width="10.85546875" style="62" customWidth="1"/>
    <col min="7" max="7" width="12.42578125" style="1" customWidth="1"/>
    <col min="8" max="8" width="10.85546875" style="52" customWidth="1"/>
    <col min="9" max="9" width="10.85546875" style="62" customWidth="1"/>
    <col min="10" max="10" width="10.85546875" style="1" customWidth="1"/>
    <col min="11" max="11" width="10.85546875" style="52" customWidth="1"/>
    <col min="12" max="12" width="10.85546875" style="62" customWidth="1"/>
    <col min="13" max="13" width="10.85546875" style="1" customWidth="1"/>
    <col min="14" max="14" width="10.85546875" style="52" customWidth="1"/>
    <col min="15" max="15" width="10.85546875" style="62" customWidth="1"/>
    <col min="16" max="16" width="10.85546875" style="1" customWidth="1"/>
    <col min="17" max="17" width="10.85546875" style="52" customWidth="1"/>
    <col min="18" max="16384" width="9.140625" style="1"/>
  </cols>
  <sheetData>
    <row r="1" spans="1:18" ht="27.75" x14ac:dyDescent="0.4">
      <c r="A1" s="382" t="s">
        <v>77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</row>
    <row r="2" spans="1:18" ht="27.75" x14ac:dyDescent="0.4">
      <c r="A2" s="382" t="s">
        <v>76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</row>
    <row r="3" spans="1:18" x14ac:dyDescent="0.2">
      <c r="L3" s="69"/>
    </row>
    <row r="5" spans="1:18" ht="14.25" customHeight="1" x14ac:dyDescent="0.2">
      <c r="A5" s="20" t="s">
        <v>68</v>
      </c>
    </row>
    <row r="6" spans="1:18" s="9" customFormat="1" x14ac:dyDescent="0.2">
      <c r="B6" s="22"/>
      <c r="C6" s="375" t="s">
        <v>70</v>
      </c>
      <c r="D6" s="375"/>
      <c r="E6" s="376"/>
      <c r="F6" s="377" t="s">
        <v>71</v>
      </c>
      <c r="G6" s="377"/>
      <c r="H6" s="378"/>
      <c r="I6" s="379" t="s">
        <v>72</v>
      </c>
      <c r="J6" s="380"/>
      <c r="K6" s="381"/>
      <c r="L6" s="369" t="s">
        <v>73</v>
      </c>
      <c r="M6" s="370"/>
      <c r="N6" s="371"/>
      <c r="O6" s="372" t="s">
        <v>74</v>
      </c>
      <c r="P6" s="373"/>
      <c r="Q6" s="374"/>
    </row>
    <row r="7" spans="1:18" s="9" customFormat="1" x14ac:dyDescent="0.2">
      <c r="B7" s="22" t="s">
        <v>55</v>
      </c>
      <c r="C7" s="84" t="s">
        <v>2</v>
      </c>
      <c r="D7" s="32" t="s">
        <v>114</v>
      </c>
      <c r="E7" s="53" t="s">
        <v>84</v>
      </c>
      <c r="F7" s="78" t="s">
        <v>2</v>
      </c>
      <c r="G7" s="34" t="s">
        <v>114</v>
      </c>
      <c r="H7" s="57" t="s">
        <v>84</v>
      </c>
      <c r="I7" s="74" t="s">
        <v>2</v>
      </c>
      <c r="J7" s="26" t="s">
        <v>114</v>
      </c>
      <c r="K7" s="58" t="s">
        <v>84</v>
      </c>
      <c r="L7" s="70" t="s">
        <v>2</v>
      </c>
      <c r="M7" s="28" t="s">
        <v>114</v>
      </c>
      <c r="N7" s="60" t="s">
        <v>84</v>
      </c>
      <c r="O7" s="63" t="s">
        <v>2</v>
      </c>
      <c r="P7" s="30" t="s">
        <v>114</v>
      </c>
      <c r="Q7" s="61" t="s">
        <v>84</v>
      </c>
    </row>
    <row r="8" spans="1:18" x14ac:dyDescent="0.2">
      <c r="B8" s="43">
        <v>30</v>
      </c>
      <c r="C8" s="85">
        <f>Assumptions!G4</f>
        <v>540</v>
      </c>
      <c r="D8" s="33">
        <f>Assumptions!$D$4</f>
        <v>376</v>
      </c>
      <c r="E8" s="47">
        <f t="shared" ref="E8:E15" si="0">C8/D8</f>
        <v>1.4361702127659575</v>
      </c>
      <c r="F8" s="79">
        <f>Assumptions!H4</f>
        <v>579</v>
      </c>
      <c r="G8" s="35">
        <f>Assumptions!$D$5</f>
        <v>602</v>
      </c>
      <c r="H8" s="48">
        <f t="shared" ref="H8:H15" si="1">F8/G8</f>
        <v>0.96179401993355484</v>
      </c>
      <c r="I8" s="75">
        <f>Assumptions!I4</f>
        <v>695</v>
      </c>
      <c r="J8" s="27">
        <f>Assumptions!$D$6</f>
        <v>738</v>
      </c>
      <c r="K8" s="49">
        <f t="shared" ref="K8:K15" si="2">I8/J8</f>
        <v>0.9417344173441734</v>
      </c>
      <c r="L8" s="71">
        <f>Assumptions!J4</f>
        <v>803</v>
      </c>
      <c r="M8" s="29">
        <f>Assumptions!$D$7</f>
        <v>914</v>
      </c>
      <c r="N8" s="50">
        <f t="shared" ref="N8:N15" si="3">L8/M8</f>
        <v>0.87855579868708966</v>
      </c>
      <c r="O8" s="64">
        <f>Assumptions!K4</f>
        <v>896</v>
      </c>
      <c r="P8" s="31">
        <f>Assumptions!$D$8</f>
        <v>914</v>
      </c>
      <c r="Q8" s="51">
        <f t="shared" ref="Q8:Q15" si="4">O8/P8</f>
        <v>0.98030634573304154</v>
      </c>
    </row>
    <row r="9" spans="1:18" x14ac:dyDescent="0.2">
      <c r="B9" s="43">
        <v>50</v>
      </c>
      <c r="C9" s="85">
        <f>Assumptions!G5</f>
        <v>901</v>
      </c>
      <c r="D9" s="33">
        <f>Assumptions!$D$4</f>
        <v>376</v>
      </c>
      <c r="E9" s="47">
        <f t="shared" si="0"/>
        <v>2.396276595744681</v>
      </c>
      <c r="F9" s="79">
        <f>Assumptions!H5</f>
        <v>965</v>
      </c>
      <c r="G9" s="35">
        <f>Assumptions!$D$5</f>
        <v>602</v>
      </c>
      <c r="H9" s="48">
        <f t="shared" si="1"/>
        <v>1.6029900332225913</v>
      </c>
      <c r="I9" s="75">
        <f>Assumptions!I5</f>
        <v>1158</v>
      </c>
      <c r="J9" s="27">
        <f>Assumptions!$D$6</f>
        <v>738</v>
      </c>
      <c r="K9" s="49">
        <f t="shared" si="2"/>
        <v>1.5691056910569106</v>
      </c>
      <c r="L9" s="71">
        <f>Assumptions!J5</f>
        <v>1339</v>
      </c>
      <c r="M9" s="29">
        <f>Assumptions!$D$7</f>
        <v>914</v>
      </c>
      <c r="N9" s="50">
        <f t="shared" si="3"/>
        <v>1.4649890590809629</v>
      </c>
      <c r="O9" s="64">
        <f>Assumptions!K5</f>
        <v>1493</v>
      </c>
      <c r="P9" s="31">
        <f>Assumptions!$D$8</f>
        <v>914</v>
      </c>
      <c r="Q9" s="51">
        <f t="shared" si="4"/>
        <v>1.6334792122538293</v>
      </c>
    </row>
    <row r="10" spans="1:18" ht="10.5" customHeight="1" x14ac:dyDescent="0.2">
      <c r="B10" s="43">
        <v>60</v>
      </c>
      <c r="C10" s="85">
        <f>Assumptions!G6</f>
        <v>1081</v>
      </c>
      <c r="D10" s="33">
        <f>Assumptions!$D$4</f>
        <v>376</v>
      </c>
      <c r="E10" s="47">
        <f t="shared" si="0"/>
        <v>2.875</v>
      </c>
      <c r="F10" s="79">
        <f>Assumptions!H6</f>
        <v>1158</v>
      </c>
      <c r="G10" s="35">
        <f>Assumptions!$D$5</f>
        <v>602</v>
      </c>
      <c r="H10" s="48">
        <f t="shared" si="1"/>
        <v>1.9235880398671097</v>
      </c>
      <c r="I10" s="75">
        <f>Assumptions!I6</f>
        <v>1390</v>
      </c>
      <c r="J10" s="27">
        <f>Assumptions!$D$6</f>
        <v>738</v>
      </c>
      <c r="K10" s="49">
        <f t="shared" si="2"/>
        <v>1.8834688346883468</v>
      </c>
      <c r="L10" s="71">
        <f>Assumptions!J6</f>
        <v>1607</v>
      </c>
      <c r="M10" s="29">
        <f>Assumptions!$D$7</f>
        <v>914</v>
      </c>
      <c r="N10" s="50">
        <f t="shared" si="3"/>
        <v>1.7582056892778994</v>
      </c>
      <c r="O10" s="64">
        <f>Assumptions!K6</f>
        <v>1792</v>
      </c>
      <c r="P10" s="31">
        <f>Assumptions!$D$8</f>
        <v>914</v>
      </c>
      <c r="Q10" s="51">
        <f t="shared" si="4"/>
        <v>1.9606126914660831</v>
      </c>
    </row>
    <row r="11" spans="1:18" x14ac:dyDescent="0.2">
      <c r="B11" s="43">
        <v>80</v>
      </c>
      <c r="C11" s="85">
        <f>Assumptions!G7</f>
        <v>1442</v>
      </c>
      <c r="D11" s="33">
        <f>Assumptions!$D$4</f>
        <v>376</v>
      </c>
      <c r="E11" s="47">
        <f t="shared" si="0"/>
        <v>3.8351063829787235</v>
      </c>
      <c r="F11" s="79">
        <f>Assumptions!H7</f>
        <v>1545</v>
      </c>
      <c r="G11" s="35">
        <f>Assumptions!$D$5</f>
        <v>602</v>
      </c>
      <c r="H11" s="48">
        <f t="shared" si="1"/>
        <v>2.5664451827242525</v>
      </c>
      <c r="I11" s="75">
        <f>Assumptions!I7</f>
        <v>1854</v>
      </c>
      <c r="J11" s="27">
        <f>Assumptions!$D$6</f>
        <v>738</v>
      </c>
      <c r="K11" s="49">
        <f t="shared" si="2"/>
        <v>2.5121951219512195</v>
      </c>
      <c r="L11" s="71">
        <f>Assumptions!J7</f>
        <v>2143</v>
      </c>
      <c r="M11" s="29">
        <f>Assumptions!$D$7</f>
        <v>914</v>
      </c>
      <c r="N11" s="50">
        <f t="shared" si="3"/>
        <v>2.3446389496717726</v>
      </c>
      <c r="O11" s="64">
        <f>Assumptions!K7</f>
        <v>2390</v>
      </c>
      <c r="P11" s="31">
        <f>Assumptions!$D$8</f>
        <v>914</v>
      </c>
      <c r="Q11" s="51">
        <f t="shared" si="4"/>
        <v>2.6148796498905909</v>
      </c>
    </row>
    <row r="12" spans="1:18" x14ac:dyDescent="0.2">
      <c r="B12" s="43">
        <v>100</v>
      </c>
      <c r="C12" s="85">
        <f>Assumptions!G8</f>
        <v>1447</v>
      </c>
      <c r="D12" s="33">
        <f>Assumptions!$D$4</f>
        <v>376</v>
      </c>
      <c r="E12" s="47">
        <f t="shared" si="0"/>
        <v>3.8484042553191489</v>
      </c>
      <c r="F12" s="79">
        <f>Assumptions!H8</f>
        <v>1550</v>
      </c>
      <c r="G12" s="35">
        <f>Assumptions!$D$5</f>
        <v>602</v>
      </c>
      <c r="H12" s="48">
        <f t="shared" si="1"/>
        <v>2.5747508305647839</v>
      </c>
      <c r="I12" s="75">
        <f>Assumptions!I8</f>
        <v>1860</v>
      </c>
      <c r="J12" s="27">
        <f>Assumptions!$D$6</f>
        <v>738</v>
      </c>
      <c r="K12" s="49">
        <f t="shared" si="2"/>
        <v>2.5203252032520327</v>
      </c>
      <c r="L12" s="71">
        <f>Assumptions!J8</f>
        <v>2150</v>
      </c>
      <c r="M12" s="29">
        <f>Assumptions!$D$7</f>
        <v>914</v>
      </c>
      <c r="N12" s="50">
        <f t="shared" si="3"/>
        <v>2.3522975929978118</v>
      </c>
      <c r="O12" s="64">
        <f>Assumptions!K8</f>
        <v>2398</v>
      </c>
      <c r="P12" s="31">
        <f>Assumptions!$D$8</f>
        <v>914</v>
      </c>
      <c r="Q12" s="51">
        <f t="shared" si="4"/>
        <v>2.62363238512035</v>
      </c>
    </row>
    <row r="13" spans="1:18" x14ac:dyDescent="0.2">
      <c r="B13" s="43">
        <v>110</v>
      </c>
      <c r="C13" s="85">
        <f>Assumptions!G9</f>
        <v>1591.5</v>
      </c>
      <c r="D13" s="33">
        <f>Assumptions!$D$4</f>
        <v>376</v>
      </c>
      <c r="E13" s="47">
        <f t="shared" si="0"/>
        <v>4.2327127659574471</v>
      </c>
      <c r="F13" s="79">
        <f>Assumptions!H9</f>
        <v>1705</v>
      </c>
      <c r="G13" s="35">
        <f>Assumptions!$D$5</f>
        <v>602</v>
      </c>
      <c r="H13" s="48">
        <f t="shared" si="1"/>
        <v>2.8322259136212624</v>
      </c>
      <c r="I13" s="75">
        <f>Assumptions!I9</f>
        <v>2046</v>
      </c>
      <c r="J13" s="27">
        <f>Assumptions!$D$6</f>
        <v>738</v>
      </c>
      <c r="K13" s="49">
        <f t="shared" si="2"/>
        <v>2.7723577235772359</v>
      </c>
      <c r="L13" s="71">
        <f>Assumptions!J9</f>
        <v>2365</v>
      </c>
      <c r="M13" s="29">
        <f>Assumptions!$D$7</f>
        <v>914</v>
      </c>
      <c r="N13" s="50">
        <f t="shared" si="3"/>
        <v>2.587527352297593</v>
      </c>
      <c r="O13" s="64">
        <f>Assumptions!K9</f>
        <v>2638</v>
      </c>
      <c r="P13" s="31">
        <f>Assumptions!$D$8</f>
        <v>914</v>
      </c>
      <c r="Q13" s="51">
        <f t="shared" si="4"/>
        <v>2.886214442013129</v>
      </c>
    </row>
    <row r="14" spans="1:18" x14ac:dyDescent="0.2">
      <c r="B14" s="43">
        <v>120</v>
      </c>
      <c r="C14" s="85">
        <f>Assumptions!G10</f>
        <v>1736</v>
      </c>
      <c r="D14" s="33">
        <f>Assumptions!$D$4</f>
        <v>376</v>
      </c>
      <c r="E14" s="47">
        <f t="shared" si="0"/>
        <v>4.6170212765957448</v>
      </c>
      <c r="F14" s="79">
        <f>Assumptions!H10</f>
        <v>1860</v>
      </c>
      <c r="G14" s="35">
        <f>Assumptions!$D$5</f>
        <v>602</v>
      </c>
      <c r="H14" s="48">
        <f t="shared" si="1"/>
        <v>3.0897009966777409</v>
      </c>
      <c r="I14" s="75">
        <f>Assumptions!I10</f>
        <v>2232</v>
      </c>
      <c r="J14" s="27">
        <f>Assumptions!$D$6</f>
        <v>738</v>
      </c>
      <c r="K14" s="49">
        <f t="shared" si="2"/>
        <v>3.024390243902439</v>
      </c>
      <c r="L14" s="71">
        <f>Assumptions!J10</f>
        <v>2580</v>
      </c>
      <c r="M14" s="29">
        <f>Assumptions!$D$7</f>
        <v>914</v>
      </c>
      <c r="N14" s="50">
        <f t="shared" si="3"/>
        <v>2.8227571115973742</v>
      </c>
      <c r="O14" s="64">
        <f>Assumptions!K10</f>
        <v>2878</v>
      </c>
      <c r="P14" s="31">
        <f>Assumptions!$D$8</f>
        <v>914</v>
      </c>
      <c r="Q14" s="51">
        <f t="shared" si="4"/>
        <v>3.1487964989059081</v>
      </c>
    </row>
    <row r="15" spans="1:18" x14ac:dyDescent="0.2">
      <c r="B15" s="43">
        <v>140</v>
      </c>
      <c r="C15" s="85">
        <f>Assumptions!G11</f>
        <v>2026</v>
      </c>
      <c r="D15" s="33">
        <f>Assumptions!$D$4</f>
        <v>376</v>
      </c>
      <c r="E15" s="47">
        <f t="shared" si="0"/>
        <v>5.3882978723404253</v>
      </c>
      <c r="F15" s="79">
        <f>Assumptions!H11</f>
        <v>2170</v>
      </c>
      <c r="G15" s="35">
        <f>Assumptions!$D$5</f>
        <v>602</v>
      </c>
      <c r="H15" s="48">
        <f t="shared" si="1"/>
        <v>3.6046511627906979</v>
      </c>
      <c r="I15" s="75">
        <f>Assumptions!I11</f>
        <v>2605</v>
      </c>
      <c r="J15" s="27">
        <f>Assumptions!$D$6</f>
        <v>738</v>
      </c>
      <c r="K15" s="49">
        <f t="shared" si="2"/>
        <v>3.5298102981029809</v>
      </c>
      <c r="L15" s="71">
        <f>Assumptions!J11</f>
        <v>3010</v>
      </c>
      <c r="M15" s="29">
        <f>Assumptions!$D$7</f>
        <v>914</v>
      </c>
      <c r="N15" s="50">
        <f t="shared" si="3"/>
        <v>3.2932166301969366</v>
      </c>
      <c r="O15" s="64">
        <f>Assumptions!K11</f>
        <v>3357</v>
      </c>
      <c r="P15" s="31">
        <f>Assumptions!$D$8</f>
        <v>914</v>
      </c>
      <c r="Q15" s="51">
        <f t="shared" si="4"/>
        <v>3.6728665207877462</v>
      </c>
    </row>
    <row r="16" spans="1:18" x14ac:dyDescent="0.2">
      <c r="B16" s="20"/>
      <c r="G16" s="12"/>
      <c r="J16" s="12"/>
      <c r="M16" s="12"/>
      <c r="P16" s="12"/>
      <c r="R16" s="3"/>
    </row>
    <row r="17" spans="1:18" x14ac:dyDescent="0.2">
      <c r="A17" s="20" t="s">
        <v>0</v>
      </c>
      <c r="B17" s="20"/>
      <c r="G17" s="12"/>
      <c r="H17" s="54">
        <f>Assumptions!D12</f>
        <v>500</v>
      </c>
      <c r="I17" s="69" t="s">
        <v>1</v>
      </c>
      <c r="L17" s="69"/>
      <c r="M17" s="12"/>
      <c r="P17" s="12"/>
      <c r="R17" s="3"/>
    </row>
    <row r="18" spans="1:18" s="9" customFormat="1" x14ac:dyDescent="0.2">
      <c r="B18" s="22"/>
      <c r="C18" s="383" t="s">
        <v>70</v>
      </c>
      <c r="D18" s="375"/>
      <c r="E18" s="376"/>
      <c r="F18" s="384" t="s">
        <v>71</v>
      </c>
      <c r="G18" s="377"/>
      <c r="H18" s="378"/>
      <c r="I18" s="379" t="s">
        <v>72</v>
      </c>
      <c r="J18" s="380"/>
      <c r="K18" s="381"/>
      <c r="L18" s="369" t="s">
        <v>73</v>
      </c>
      <c r="M18" s="370"/>
      <c r="N18" s="371"/>
      <c r="O18" s="372" t="s">
        <v>74</v>
      </c>
      <c r="P18" s="373"/>
      <c r="Q18" s="374"/>
    </row>
    <row r="19" spans="1:18" s="9" customFormat="1" x14ac:dyDescent="0.2">
      <c r="B19" s="22" t="s">
        <v>55</v>
      </c>
      <c r="C19" s="86" t="s">
        <v>85</v>
      </c>
      <c r="D19" s="39"/>
      <c r="E19" s="53"/>
      <c r="F19" s="80" t="s">
        <v>85</v>
      </c>
      <c r="G19" s="34"/>
      <c r="H19" s="57"/>
      <c r="I19" s="74" t="s">
        <v>85</v>
      </c>
      <c r="J19" s="26"/>
      <c r="K19" s="58"/>
      <c r="L19" s="70" t="s">
        <v>85</v>
      </c>
      <c r="M19" s="28"/>
      <c r="N19" s="60"/>
      <c r="O19" s="63" t="s">
        <v>85</v>
      </c>
      <c r="P19" s="30"/>
      <c r="Q19" s="61"/>
    </row>
    <row r="20" spans="1:18" x14ac:dyDescent="0.2">
      <c r="B20" s="43">
        <v>30</v>
      </c>
      <c r="C20" s="87">
        <f>C8-$H$17</f>
        <v>40</v>
      </c>
      <c r="D20" s="40"/>
      <c r="E20" s="47"/>
      <c r="F20" s="81">
        <f t="shared" ref="F20:F27" si="5">F8-$H$17</f>
        <v>79</v>
      </c>
      <c r="G20" s="35"/>
      <c r="H20" s="48"/>
      <c r="I20" s="75">
        <f t="shared" ref="I20:I27" si="6">I8-$H$17</f>
        <v>195</v>
      </c>
      <c r="J20" s="27"/>
      <c r="K20" s="49"/>
      <c r="L20" s="71">
        <f t="shared" ref="L20:L27" si="7">L8-$H$17</f>
        <v>303</v>
      </c>
      <c r="M20" s="29"/>
      <c r="N20" s="50"/>
      <c r="O20" s="64">
        <f t="shared" ref="O20:O27" si="8">O8-$H$17</f>
        <v>396</v>
      </c>
      <c r="P20" s="31"/>
      <c r="Q20" s="51"/>
    </row>
    <row r="21" spans="1:18" x14ac:dyDescent="0.2">
      <c r="B21" s="43">
        <v>50</v>
      </c>
      <c r="C21" s="87">
        <f t="shared" ref="C21:C27" si="9">C9-$H$17</f>
        <v>401</v>
      </c>
      <c r="D21" s="40"/>
      <c r="E21" s="47"/>
      <c r="F21" s="81">
        <f t="shared" si="5"/>
        <v>465</v>
      </c>
      <c r="G21" s="35"/>
      <c r="H21" s="48"/>
      <c r="I21" s="75">
        <f t="shared" si="6"/>
        <v>658</v>
      </c>
      <c r="J21" s="27"/>
      <c r="K21" s="49"/>
      <c r="L21" s="71">
        <f t="shared" si="7"/>
        <v>839</v>
      </c>
      <c r="M21" s="29"/>
      <c r="N21" s="50"/>
      <c r="O21" s="64">
        <f t="shared" si="8"/>
        <v>993</v>
      </c>
      <c r="P21" s="31"/>
      <c r="Q21" s="51"/>
    </row>
    <row r="22" spans="1:18" x14ac:dyDescent="0.2">
      <c r="B22" s="43">
        <v>60</v>
      </c>
      <c r="C22" s="87">
        <f t="shared" si="9"/>
        <v>581</v>
      </c>
      <c r="D22" s="40"/>
      <c r="E22" s="47"/>
      <c r="F22" s="81">
        <f t="shared" si="5"/>
        <v>658</v>
      </c>
      <c r="G22" s="35"/>
      <c r="H22" s="48"/>
      <c r="I22" s="75">
        <f t="shared" si="6"/>
        <v>890</v>
      </c>
      <c r="J22" s="27"/>
      <c r="K22" s="49"/>
      <c r="L22" s="71">
        <f t="shared" si="7"/>
        <v>1107</v>
      </c>
      <c r="M22" s="29"/>
      <c r="N22" s="50"/>
      <c r="O22" s="64">
        <f t="shared" si="8"/>
        <v>1292</v>
      </c>
      <c r="P22" s="31"/>
      <c r="Q22" s="51"/>
    </row>
    <row r="23" spans="1:18" x14ac:dyDescent="0.2">
      <c r="B23" s="43">
        <v>80</v>
      </c>
      <c r="C23" s="87">
        <f t="shared" si="9"/>
        <v>942</v>
      </c>
      <c r="D23" s="40"/>
      <c r="E23" s="47"/>
      <c r="F23" s="81">
        <f t="shared" si="5"/>
        <v>1045</v>
      </c>
      <c r="G23" s="35"/>
      <c r="H23" s="48"/>
      <c r="I23" s="75">
        <f t="shared" si="6"/>
        <v>1354</v>
      </c>
      <c r="J23" s="27"/>
      <c r="K23" s="49"/>
      <c r="L23" s="71">
        <f t="shared" si="7"/>
        <v>1643</v>
      </c>
      <c r="M23" s="29"/>
      <c r="N23" s="50"/>
      <c r="O23" s="64">
        <f t="shared" si="8"/>
        <v>1890</v>
      </c>
      <c r="P23" s="31"/>
      <c r="Q23" s="51"/>
    </row>
    <row r="24" spans="1:18" x14ac:dyDescent="0.2">
      <c r="B24" s="43">
        <v>100</v>
      </c>
      <c r="C24" s="87">
        <f>C12-$H$17</f>
        <v>947</v>
      </c>
      <c r="D24" s="40"/>
      <c r="E24" s="47"/>
      <c r="F24" s="81">
        <f t="shared" si="5"/>
        <v>1050</v>
      </c>
      <c r="G24" s="35"/>
      <c r="H24" s="48"/>
      <c r="I24" s="75">
        <f t="shared" si="6"/>
        <v>1360</v>
      </c>
      <c r="J24" s="27"/>
      <c r="K24" s="49"/>
      <c r="L24" s="71">
        <f t="shared" si="7"/>
        <v>1650</v>
      </c>
      <c r="M24" s="29"/>
      <c r="N24" s="50"/>
      <c r="O24" s="64">
        <f t="shared" si="8"/>
        <v>1898</v>
      </c>
      <c r="P24" s="31"/>
      <c r="Q24" s="51"/>
    </row>
    <row r="25" spans="1:18" x14ac:dyDescent="0.2">
      <c r="B25" s="43">
        <v>110</v>
      </c>
      <c r="C25" s="87">
        <f t="shared" si="9"/>
        <v>1091.5</v>
      </c>
      <c r="D25" s="40"/>
      <c r="E25" s="47"/>
      <c r="F25" s="81">
        <f t="shared" si="5"/>
        <v>1205</v>
      </c>
      <c r="G25" s="35"/>
      <c r="H25" s="48"/>
      <c r="I25" s="75">
        <f t="shared" si="6"/>
        <v>1546</v>
      </c>
      <c r="J25" s="27"/>
      <c r="K25" s="49"/>
      <c r="L25" s="71">
        <f t="shared" si="7"/>
        <v>1865</v>
      </c>
      <c r="M25" s="29"/>
      <c r="N25" s="50"/>
      <c r="O25" s="64">
        <f t="shared" si="8"/>
        <v>2138</v>
      </c>
      <c r="P25" s="31"/>
      <c r="Q25" s="51"/>
    </row>
    <row r="26" spans="1:18" x14ac:dyDescent="0.2">
      <c r="B26" s="43">
        <v>120</v>
      </c>
      <c r="C26" s="87">
        <f t="shared" si="9"/>
        <v>1236</v>
      </c>
      <c r="D26" s="40"/>
      <c r="E26" s="47"/>
      <c r="F26" s="81">
        <f t="shared" si="5"/>
        <v>1360</v>
      </c>
      <c r="G26" s="35"/>
      <c r="H26" s="48"/>
      <c r="I26" s="75">
        <f t="shared" si="6"/>
        <v>1732</v>
      </c>
      <c r="J26" s="27"/>
      <c r="K26" s="49"/>
      <c r="L26" s="71">
        <f t="shared" si="7"/>
        <v>2080</v>
      </c>
      <c r="M26" s="29"/>
      <c r="N26" s="50"/>
      <c r="O26" s="64">
        <f t="shared" si="8"/>
        <v>2378</v>
      </c>
      <c r="P26" s="31"/>
      <c r="Q26" s="51"/>
    </row>
    <row r="27" spans="1:18" x14ac:dyDescent="0.2">
      <c r="B27" s="43">
        <v>140</v>
      </c>
      <c r="C27" s="87">
        <f t="shared" si="9"/>
        <v>1526</v>
      </c>
      <c r="D27" s="40"/>
      <c r="E27" s="47"/>
      <c r="F27" s="81">
        <f t="shared" si="5"/>
        <v>1670</v>
      </c>
      <c r="G27" s="35"/>
      <c r="H27" s="48"/>
      <c r="I27" s="75">
        <f t="shared" si="6"/>
        <v>2105</v>
      </c>
      <c r="J27" s="27"/>
      <c r="K27" s="49"/>
      <c r="L27" s="72">
        <f t="shared" si="7"/>
        <v>2510</v>
      </c>
      <c r="M27" s="38"/>
      <c r="N27" s="50"/>
      <c r="O27" s="64">
        <f t="shared" si="8"/>
        <v>2857</v>
      </c>
      <c r="P27" s="31"/>
      <c r="Q27" s="51"/>
    </row>
    <row r="28" spans="1:18" x14ac:dyDescent="0.2">
      <c r="B28" s="20"/>
      <c r="G28" s="12"/>
      <c r="J28" s="12"/>
      <c r="M28" s="12"/>
      <c r="P28" s="12"/>
      <c r="R28" s="3"/>
    </row>
    <row r="29" spans="1:18" x14ac:dyDescent="0.2">
      <c r="A29" s="20" t="s">
        <v>86</v>
      </c>
      <c r="B29" s="20"/>
      <c r="D29" s="41">
        <f>Assumptions!D13</f>
        <v>1.2</v>
      </c>
      <c r="G29" s="12"/>
      <c r="J29" s="12"/>
      <c r="M29" s="12"/>
      <c r="P29" s="12"/>
      <c r="R29" s="3"/>
    </row>
    <row r="30" spans="1:18" s="9" customFormat="1" x14ac:dyDescent="0.2">
      <c r="B30" s="22"/>
      <c r="C30" s="375" t="s">
        <v>70</v>
      </c>
      <c r="D30" s="375"/>
      <c r="E30" s="376"/>
      <c r="F30" s="377" t="s">
        <v>71</v>
      </c>
      <c r="G30" s="377"/>
      <c r="H30" s="378"/>
      <c r="I30" s="379" t="s">
        <v>72</v>
      </c>
      <c r="J30" s="380"/>
      <c r="K30" s="381"/>
      <c r="L30" s="369" t="s">
        <v>73</v>
      </c>
      <c r="M30" s="370"/>
      <c r="N30" s="371"/>
      <c r="O30" s="372" t="s">
        <v>74</v>
      </c>
      <c r="P30" s="373"/>
      <c r="Q30" s="374"/>
    </row>
    <row r="31" spans="1:18" s="9" customFormat="1" x14ac:dyDescent="0.2">
      <c r="B31" s="22" t="s">
        <v>55</v>
      </c>
      <c r="C31" s="84" t="s">
        <v>87</v>
      </c>
      <c r="D31" s="32"/>
      <c r="E31" s="53"/>
      <c r="F31" s="78" t="s">
        <v>87</v>
      </c>
      <c r="G31" s="34"/>
      <c r="H31" s="57"/>
      <c r="I31" s="74" t="s">
        <v>87</v>
      </c>
      <c r="J31" s="26"/>
      <c r="K31" s="58"/>
      <c r="L31" s="70" t="s">
        <v>87</v>
      </c>
      <c r="M31" s="28"/>
      <c r="N31" s="60"/>
      <c r="O31" s="63" t="s">
        <v>87</v>
      </c>
      <c r="P31" s="30"/>
      <c r="Q31" s="61"/>
    </row>
    <row r="32" spans="1:18" x14ac:dyDescent="0.2">
      <c r="B32" s="43">
        <v>30</v>
      </c>
      <c r="C32" s="85">
        <f>C20/$D$29</f>
        <v>33.333333333333336</v>
      </c>
      <c r="D32" s="33"/>
      <c r="E32" s="47"/>
      <c r="F32" s="82">
        <f t="shared" ref="F32:F39" si="10">F20/$D$29</f>
        <v>65.833333333333343</v>
      </c>
      <c r="G32" s="36"/>
      <c r="H32" s="48"/>
      <c r="I32" s="76">
        <f t="shared" ref="I32:I39" si="11">I20/$D$29</f>
        <v>162.5</v>
      </c>
      <c r="J32" s="37"/>
      <c r="K32" s="49"/>
      <c r="L32" s="72">
        <f t="shared" ref="L32:L39" si="12">L20/$D$29</f>
        <v>252.5</v>
      </c>
      <c r="M32" s="38"/>
      <c r="N32" s="50"/>
      <c r="O32" s="65">
        <f t="shared" ref="O32:O39" si="13">O20/$D$29</f>
        <v>330</v>
      </c>
      <c r="P32" s="10"/>
      <c r="Q32" s="51"/>
    </row>
    <row r="33" spans="1:18" x14ac:dyDescent="0.2">
      <c r="B33" s="43">
        <v>50</v>
      </c>
      <c r="C33" s="85">
        <f>C21/$D$29</f>
        <v>334.16666666666669</v>
      </c>
      <c r="D33" s="33"/>
      <c r="E33" s="47"/>
      <c r="F33" s="82">
        <f t="shared" si="10"/>
        <v>387.5</v>
      </c>
      <c r="G33" s="36"/>
      <c r="H33" s="48"/>
      <c r="I33" s="76">
        <f t="shared" si="11"/>
        <v>548.33333333333337</v>
      </c>
      <c r="J33" s="37"/>
      <c r="K33" s="49"/>
      <c r="L33" s="72">
        <f t="shared" si="12"/>
        <v>699.16666666666674</v>
      </c>
      <c r="M33" s="38"/>
      <c r="N33" s="50"/>
      <c r="O33" s="65">
        <f t="shared" si="13"/>
        <v>827.5</v>
      </c>
      <c r="P33" s="10"/>
      <c r="Q33" s="51"/>
    </row>
    <row r="34" spans="1:18" x14ac:dyDescent="0.2">
      <c r="B34" s="43">
        <v>60</v>
      </c>
      <c r="C34" s="85">
        <f t="shared" ref="C34:C39" si="14">C22/$D$29</f>
        <v>484.16666666666669</v>
      </c>
      <c r="D34" s="33"/>
      <c r="E34" s="47"/>
      <c r="F34" s="82">
        <f t="shared" si="10"/>
        <v>548.33333333333337</v>
      </c>
      <c r="G34" s="36"/>
      <c r="H34" s="48"/>
      <c r="I34" s="76">
        <f t="shared" si="11"/>
        <v>741.66666666666674</v>
      </c>
      <c r="J34" s="37"/>
      <c r="K34" s="49"/>
      <c r="L34" s="72">
        <f t="shared" si="12"/>
        <v>922.5</v>
      </c>
      <c r="M34" s="38"/>
      <c r="N34" s="50"/>
      <c r="O34" s="65">
        <f t="shared" si="13"/>
        <v>1076.6666666666667</v>
      </c>
      <c r="P34" s="10"/>
      <c r="Q34" s="51"/>
    </row>
    <row r="35" spans="1:18" x14ac:dyDescent="0.2">
      <c r="B35" s="43">
        <v>80</v>
      </c>
      <c r="C35" s="85">
        <f t="shared" si="14"/>
        <v>785</v>
      </c>
      <c r="D35" s="33"/>
      <c r="E35" s="47"/>
      <c r="F35" s="82">
        <f t="shared" si="10"/>
        <v>870.83333333333337</v>
      </c>
      <c r="G35" s="36"/>
      <c r="H35" s="48"/>
      <c r="I35" s="76">
        <f t="shared" si="11"/>
        <v>1128.3333333333335</v>
      </c>
      <c r="J35" s="37"/>
      <c r="K35" s="49"/>
      <c r="L35" s="72">
        <f t="shared" si="12"/>
        <v>1369.1666666666667</v>
      </c>
      <c r="M35" s="38"/>
      <c r="N35" s="50"/>
      <c r="O35" s="65">
        <f t="shared" si="13"/>
        <v>1575</v>
      </c>
      <c r="P35" s="10"/>
      <c r="Q35" s="51"/>
    </row>
    <row r="36" spans="1:18" ht="12" customHeight="1" x14ac:dyDescent="0.2">
      <c r="B36" s="43">
        <v>100</v>
      </c>
      <c r="C36" s="85">
        <f t="shared" si="14"/>
        <v>789.16666666666674</v>
      </c>
      <c r="D36" s="33"/>
      <c r="E36" s="47"/>
      <c r="F36" s="82">
        <f t="shared" si="10"/>
        <v>875</v>
      </c>
      <c r="G36" s="36"/>
      <c r="H36" s="48"/>
      <c r="I36" s="76">
        <f t="shared" si="11"/>
        <v>1133.3333333333335</v>
      </c>
      <c r="J36" s="37"/>
      <c r="K36" s="49"/>
      <c r="L36" s="72">
        <f t="shared" si="12"/>
        <v>1375</v>
      </c>
      <c r="M36" s="38"/>
      <c r="N36" s="50"/>
      <c r="O36" s="65">
        <f t="shared" si="13"/>
        <v>1581.6666666666667</v>
      </c>
      <c r="P36" s="10"/>
      <c r="Q36" s="51"/>
    </row>
    <row r="37" spans="1:18" x14ac:dyDescent="0.2">
      <c r="B37" s="43">
        <v>110</v>
      </c>
      <c r="C37" s="324">
        <f>C25/$D$29</f>
        <v>909.58333333333337</v>
      </c>
      <c r="D37" s="33"/>
      <c r="E37" s="47"/>
      <c r="F37" s="82">
        <f t="shared" si="10"/>
        <v>1004.1666666666667</v>
      </c>
      <c r="G37" s="36"/>
      <c r="H37" s="48"/>
      <c r="I37" s="76">
        <f t="shared" si="11"/>
        <v>1288.3333333333335</v>
      </c>
      <c r="J37" s="37"/>
      <c r="K37" s="49"/>
      <c r="L37" s="72">
        <f t="shared" si="12"/>
        <v>1554.1666666666667</v>
      </c>
      <c r="M37" s="38"/>
      <c r="N37" s="50"/>
      <c r="O37" s="65">
        <f t="shared" si="13"/>
        <v>1781.6666666666667</v>
      </c>
      <c r="P37" s="10"/>
      <c r="Q37" s="51"/>
    </row>
    <row r="38" spans="1:18" x14ac:dyDescent="0.2">
      <c r="B38" s="43">
        <v>120</v>
      </c>
      <c r="C38" s="85">
        <f t="shared" si="14"/>
        <v>1030</v>
      </c>
      <c r="D38" s="33"/>
      <c r="E38" s="47"/>
      <c r="F38" s="82">
        <f t="shared" si="10"/>
        <v>1133.3333333333335</v>
      </c>
      <c r="G38" s="36"/>
      <c r="H38" s="48"/>
      <c r="I38" s="76">
        <f t="shared" si="11"/>
        <v>1443.3333333333335</v>
      </c>
      <c r="J38" s="37"/>
      <c r="K38" s="49"/>
      <c r="L38" s="72">
        <f t="shared" si="12"/>
        <v>1733.3333333333335</v>
      </c>
      <c r="M38" s="38"/>
      <c r="N38" s="50"/>
      <c r="O38" s="65">
        <f t="shared" si="13"/>
        <v>1981.6666666666667</v>
      </c>
      <c r="P38" s="10"/>
      <c r="Q38" s="51"/>
    </row>
    <row r="39" spans="1:18" x14ac:dyDescent="0.2">
      <c r="B39" s="43">
        <v>140</v>
      </c>
      <c r="C39" s="85">
        <f t="shared" si="14"/>
        <v>1271.6666666666667</v>
      </c>
      <c r="D39" s="33"/>
      <c r="E39" s="47"/>
      <c r="F39" s="82">
        <f t="shared" si="10"/>
        <v>1391.6666666666667</v>
      </c>
      <c r="G39" s="36"/>
      <c r="H39" s="48"/>
      <c r="I39" s="76">
        <f t="shared" si="11"/>
        <v>1754.1666666666667</v>
      </c>
      <c r="J39" s="37"/>
      <c r="K39" s="49"/>
      <c r="L39" s="72">
        <f t="shared" si="12"/>
        <v>2091.666666666667</v>
      </c>
      <c r="M39" s="38"/>
      <c r="N39" s="50"/>
      <c r="O39" s="65">
        <f t="shared" si="13"/>
        <v>2380.8333333333335</v>
      </c>
      <c r="P39" s="10"/>
      <c r="Q39" s="51"/>
      <c r="R39" s="3"/>
    </row>
    <row r="40" spans="1:18" x14ac:dyDescent="0.2">
      <c r="B40" s="20"/>
      <c r="G40" s="12"/>
      <c r="J40" s="12"/>
      <c r="M40" s="12"/>
      <c r="P40" s="12"/>
      <c r="R40" s="3"/>
    </row>
    <row r="41" spans="1:18" x14ac:dyDescent="0.2">
      <c r="A41" s="20" t="s">
        <v>34</v>
      </c>
      <c r="B41" s="44"/>
      <c r="H41" s="42">
        <f>Assumptions!D14</f>
        <v>4.4999999999999998E-2</v>
      </c>
      <c r="J41" s="12"/>
      <c r="M41" s="12"/>
      <c r="P41" s="12"/>
      <c r="R41" s="3"/>
    </row>
    <row r="42" spans="1:18" s="9" customFormat="1" x14ac:dyDescent="0.2">
      <c r="B42" s="22"/>
      <c r="C42" s="383" t="s">
        <v>70</v>
      </c>
      <c r="D42" s="375"/>
      <c r="E42" s="376"/>
      <c r="F42" s="384" t="s">
        <v>71</v>
      </c>
      <c r="G42" s="377"/>
      <c r="H42" s="378"/>
      <c r="I42" s="379" t="s">
        <v>72</v>
      </c>
      <c r="J42" s="380"/>
      <c r="K42" s="381"/>
      <c r="L42" s="369" t="s">
        <v>73</v>
      </c>
      <c r="M42" s="370"/>
      <c r="N42" s="371"/>
      <c r="O42" s="372" t="s">
        <v>74</v>
      </c>
      <c r="P42" s="373"/>
      <c r="Q42" s="374"/>
    </row>
    <row r="43" spans="1:18" s="9" customFormat="1" x14ac:dyDescent="0.2">
      <c r="B43" s="22" t="s">
        <v>55</v>
      </c>
      <c r="C43" s="86" t="s">
        <v>101</v>
      </c>
      <c r="D43" s="32" t="s">
        <v>114</v>
      </c>
      <c r="E43" s="53" t="s">
        <v>88</v>
      </c>
      <c r="F43" s="80" t="s">
        <v>101</v>
      </c>
      <c r="G43" s="34" t="s">
        <v>114</v>
      </c>
      <c r="H43" s="57" t="s">
        <v>88</v>
      </c>
      <c r="I43" s="74" t="s">
        <v>101</v>
      </c>
      <c r="J43" s="26" t="s">
        <v>114</v>
      </c>
      <c r="K43" s="58" t="s">
        <v>88</v>
      </c>
      <c r="L43" s="70" t="s">
        <v>101</v>
      </c>
      <c r="M43" s="28" t="s">
        <v>114</v>
      </c>
      <c r="N43" s="60" t="s">
        <v>88</v>
      </c>
      <c r="O43" s="63" t="s">
        <v>101</v>
      </c>
      <c r="P43" s="30" t="s">
        <v>114</v>
      </c>
      <c r="Q43" s="61" t="s">
        <v>88</v>
      </c>
    </row>
    <row r="44" spans="1:18" x14ac:dyDescent="0.2">
      <c r="B44" s="43">
        <v>30</v>
      </c>
      <c r="C44" s="85">
        <f>PV($H$41/12,360,-C32,,0)</f>
        <v>6578.7053002953271</v>
      </c>
      <c r="D44" s="33">
        <f>Assumptions!$D$4</f>
        <v>376</v>
      </c>
      <c r="E44" s="47">
        <f t="shared" ref="E44:E51" si="15">C44/D44</f>
        <v>17.496556649721615</v>
      </c>
      <c r="F44" s="82">
        <f>PV($H$41/12,360,-F32,,0)</f>
        <v>12992.942968083273</v>
      </c>
      <c r="G44" s="36">
        <f>Assumptions!$D$5</f>
        <v>602</v>
      </c>
      <c r="H44" s="48">
        <f t="shared" ref="H44:H51" si="16">F44/G44</f>
        <v>21.582961741002116</v>
      </c>
      <c r="I44" s="76">
        <f>PV($H$41/12,360,-I32,,0)</f>
        <v>32071.188338939715</v>
      </c>
      <c r="J44" s="37">
        <f>Assumptions!$D$6</f>
        <v>738</v>
      </c>
      <c r="K44" s="49">
        <f t="shared" ref="K44:K51" si="17">I44/J44</f>
        <v>43.456894768210994</v>
      </c>
      <c r="L44" s="72">
        <f>PV($H$41/12,360,-L32,,0)</f>
        <v>49833.692649737102</v>
      </c>
      <c r="M44" s="38">
        <f>Assumptions!$D$7</f>
        <v>914</v>
      </c>
      <c r="N44" s="50">
        <f t="shared" ref="N44:N51" si="18">L44/M44</f>
        <v>54.522639660543874</v>
      </c>
      <c r="O44" s="65">
        <f>PV($H$41/12,360,-O32,,0)</f>
        <v>65129.182472923727</v>
      </c>
      <c r="P44" s="10">
        <f>Assumptions!$D$8</f>
        <v>914</v>
      </c>
      <c r="Q44" s="51">
        <f t="shared" ref="Q44:Q51" si="19">O44/P44</f>
        <v>71.257311239522679</v>
      </c>
    </row>
    <row r="45" spans="1:18" x14ac:dyDescent="0.2">
      <c r="B45" s="43">
        <v>50</v>
      </c>
      <c r="C45" s="85">
        <f t="shared" ref="C45:C51" si="20">PV($H$41/12,360,-C33,,0)</f>
        <v>65951.520635460649</v>
      </c>
      <c r="D45" s="33">
        <f>Assumptions!$D$4</f>
        <v>376</v>
      </c>
      <c r="E45" s="47">
        <f t="shared" si="15"/>
        <v>175.40298041345918</v>
      </c>
      <c r="F45" s="82">
        <f t="shared" ref="F45:F51" si="21">PV($H$41/12,360,-F33,,0)</f>
        <v>76477.449115933166</v>
      </c>
      <c r="G45" s="36">
        <f>Assumptions!$D$5</f>
        <v>602</v>
      </c>
      <c r="H45" s="48">
        <f t="shared" si="16"/>
        <v>127.03895201982253</v>
      </c>
      <c r="I45" s="76">
        <f t="shared" ref="I45:I51" si="22">PV($H$41/12,360,-I33,,0)</f>
        <v>108219.70218985813</v>
      </c>
      <c r="J45" s="37">
        <f>Assumptions!$D$6</f>
        <v>738</v>
      </c>
      <c r="K45" s="49">
        <f t="shared" si="17"/>
        <v>146.63916285888635</v>
      </c>
      <c r="L45" s="72">
        <f t="shared" ref="L45:L51" si="23">PV($H$41/12,360,-L33,,0)</f>
        <v>137988.34367369447</v>
      </c>
      <c r="M45" s="38">
        <f>Assumptions!$D$7</f>
        <v>914</v>
      </c>
      <c r="N45" s="50">
        <f t="shared" si="18"/>
        <v>150.97192962110992</v>
      </c>
      <c r="O45" s="65">
        <f t="shared" ref="O45:O51" si="24">PV($H$41/12,360,-O33,,0)</f>
        <v>163316.35907983148</v>
      </c>
      <c r="P45" s="10">
        <f>Assumptions!$D$8</f>
        <v>914</v>
      </c>
      <c r="Q45" s="51">
        <f t="shared" si="19"/>
        <v>178.68310621425763</v>
      </c>
    </row>
    <row r="46" spans="1:18" x14ac:dyDescent="0.2">
      <c r="B46" s="43">
        <v>60</v>
      </c>
      <c r="C46" s="85">
        <f t="shared" si="20"/>
        <v>95555.694486789624</v>
      </c>
      <c r="D46" s="33">
        <f>Assumptions!$D$4</f>
        <v>376</v>
      </c>
      <c r="E46" s="47">
        <f t="shared" si="15"/>
        <v>254.13748533720644</v>
      </c>
      <c r="F46" s="82">
        <f t="shared" si="21"/>
        <v>108219.70218985813</v>
      </c>
      <c r="G46" s="36">
        <f>Assumptions!$D$5</f>
        <v>602</v>
      </c>
      <c r="H46" s="48">
        <f t="shared" si="16"/>
        <v>179.76694715923279</v>
      </c>
      <c r="I46" s="76">
        <f t="shared" si="22"/>
        <v>146376.19293157101</v>
      </c>
      <c r="J46" s="37">
        <f>Assumptions!$D$6</f>
        <v>738</v>
      </c>
      <c r="K46" s="49">
        <f t="shared" si="17"/>
        <v>198.34172483952713</v>
      </c>
      <c r="L46" s="72">
        <f t="shared" si="23"/>
        <v>182065.66918567318</v>
      </c>
      <c r="M46" s="38">
        <f>Assumptions!$D$7</f>
        <v>914</v>
      </c>
      <c r="N46" s="50">
        <f t="shared" si="18"/>
        <v>199.19657460139297</v>
      </c>
      <c r="O46" s="65">
        <f t="shared" si="24"/>
        <v>212492.18119953905</v>
      </c>
      <c r="P46" s="10">
        <f>Assumptions!$D$8</f>
        <v>914</v>
      </c>
      <c r="Q46" s="51">
        <f t="shared" si="19"/>
        <v>232.48597505420028</v>
      </c>
    </row>
    <row r="47" spans="1:18" x14ac:dyDescent="0.2">
      <c r="B47" s="43">
        <v>80</v>
      </c>
      <c r="C47" s="85">
        <f t="shared" si="20"/>
        <v>154928.50982195494</v>
      </c>
      <c r="D47" s="33">
        <f>Assumptions!$D$4</f>
        <v>376</v>
      </c>
      <c r="E47" s="47">
        <f t="shared" si="15"/>
        <v>412.04390910094401</v>
      </c>
      <c r="F47" s="82">
        <f t="shared" si="21"/>
        <v>171868.67597021541</v>
      </c>
      <c r="G47" s="36">
        <f>Assumptions!$D$5</f>
        <v>602</v>
      </c>
      <c r="H47" s="48">
        <f t="shared" si="16"/>
        <v>285.49613948540764</v>
      </c>
      <c r="I47" s="76">
        <f t="shared" si="22"/>
        <v>222689.17441499684</v>
      </c>
      <c r="J47" s="37">
        <f>Assumptions!$D$6</f>
        <v>738</v>
      </c>
      <c r="K47" s="49">
        <f t="shared" si="17"/>
        <v>301.74684880080872</v>
      </c>
      <c r="L47" s="72">
        <f t="shared" si="23"/>
        <v>270220.32020963053</v>
      </c>
      <c r="M47" s="38">
        <f>Assumptions!$D$7</f>
        <v>914</v>
      </c>
      <c r="N47" s="50">
        <f t="shared" si="18"/>
        <v>295.645864561959</v>
      </c>
      <c r="O47" s="65">
        <f t="shared" si="24"/>
        <v>310843.82543895417</v>
      </c>
      <c r="P47" s="10">
        <f>Assumptions!$D$8</f>
        <v>914</v>
      </c>
      <c r="Q47" s="51">
        <f t="shared" si="19"/>
        <v>340.09171273408555</v>
      </c>
    </row>
    <row r="48" spans="1:18" x14ac:dyDescent="0.2">
      <c r="B48" s="43">
        <v>100</v>
      </c>
      <c r="C48" s="85">
        <f t="shared" si="20"/>
        <v>155750.84798449188</v>
      </c>
      <c r="D48" s="33">
        <f>Assumptions!$D$4</f>
        <v>376</v>
      </c>
      <c r="E48" s="47">
        <f t="shared" si="15"/>
        <v>414.23097868215922</v>
      </c>
      <c r="F48" s="82">
        <f t="shared" si="21"/>
        <v>172691.01413275232</v>
      </c>
      <c r="G48" s="36">
        <f>Assumptions!$D$5</f>
        <v>602</v>
      </c>
      <c r="H48" s="48">
        <f t="shared" si="16"/>
        <v>286.86214972217994</v>
      </c>
      <c r="I48" s="76">
        <f t="shared" si="22"/>
        <v>223675.98021004113</v>
      </c>
      <c r="J48" s="37">
        <f>Assumptions!$D$6</f>
        <v>738</v>
      </c>
      <c r="K48" s="49">
        <f t="shared" si="17"/>
        <v>303.08398402444595</v>
      </c>
      <c r="L48" s="72">
        <f t="shared" si="23"/>
        <v>271371.5936371822</v>
      </c>
      <c r="M48" s="38">
        <f>Assumptions!$D$7</f>
        <v>914</v>
      </c>
      <c r="N48" s="50">
        <f t="shared" si="18"/>
        <v>296.90546349801116</v>
      </c>
      <c r="O48" s="65">
        <f t="shared" si="24"/>
        <v>312159.56649901328</v>
      </c>
      <c r="P48" s="10">
        <f>Assumptions!$D$8</f>
        <v>914</v>
      </c>
      <c r="Q48" s="51">
        <f t="shared" si="19"/>
        <v>341.53125437528803</v>
      </c>
    </row>
    <row r="49" spans="1:18" x14ac:dyDescent="0.2">
      <c r="B49" s="43">
        <v>110</v>
      </c>
      <c r="C49" s="85">
        <f>PV($H$41/12,360,-C37,,0)</f>
        <v>179516.42088180874</v>
      </c>
      <c r="D49" s="33">
        <f>Assumptions!$D$4</f>
        <v>376</v>
      </c>
      <c r="E49" s="47">
        <f t="shared" si="15"/>
        <v>477.43728957927857</v>
      </c>
      <c r="F49" s="82">
        <f t="shared" si="21"/>
        <v>198183.49717139671</v>
      </c>
      <c r="G49" s="36">
        <f>Assumptions!$D$5</f>
        <v>602</v>
      </c>
      <c r="H49" s="48">
        <f t="shared" si="16"/>
        <v>329.2084670621208</v>
      </c>
      <c r="I49" s="76">
        <f t="shared" si="22"/>
        <v>254266.95985641441</v>
      </c>
      <c r="J49" s="37">
        <f>Assumptions!$D$6</f>
        <v>738</v>
      </c>
      <c r="K49" s="49">
        <f t="shared" si="17"/>
        <v>344.53517595720109</v>
      </c>
      <c r="L49" s="72">
        <f t="shared" si="23"/>
        <v>306732.13462626963</v>
      </c>
      <c r="M49" s="38">
        <f>Assumptions!$D$7</f>
        <v>914</v>
      </c>
      <c r="N49" s="50">
        <f t="shared" si="18"/>
        <v>335.59314510532784</v>
      </c>
      <c r="O49" s="65">
        <f t="shared" si="24"/>
        <v>351631.79830078525</v>
      </c>
      <c r="P49" s="10">
        <f>Assumptions!$D$8</f>
        <v>914</v>
      </c>
      <c r="Q49" s="51">
        <f t="shared" si="19"/>
        <v>384.71750361136242</v>
      </c>
    </row>
    <row r="50" spans="1:18" x14ac:dyDescent="0.2">
      <c r="B50" s="43">
        <v>120</v>
      </c>
      <c r="C50" s="85">
        <f t="shared" si="20"/>
        <v>203281.99377912557</v>
      </c>
      <c r="D50" s="33">
        <f>Assumptions!$D$4</f>
        <v>376</v>
      </c>
      <c r="E50" s="47">
        <f t="shared" si="15"/>
        <v>540.64360047639775</v>
      </c>
      <c r="F50" s="82">
        <f t="shared" si="21"/>
        <v>223675.98021004113</v>
      </c>
      <c r="G50" s="36">
        <f>Assumptions!$D$5</f>
        <v>602</v>
      </c>
      <c r="H50" s="48">
        <f t="shared" si="16"/>
        <v>371.55478440206167</v>
      </c>
      <c r="I50" s="76">
        <f t="shared" si="22"/>
        <v>284857.93950278772</v>
      </c>
      <c r="J50" s="37">
        <f>Assumptions!$D$6</f>
        <v>738</v>
      </c>
      <c r="K50" s="49">
        <f t="shared" si="17"/>
        <v>385.98636788995628</v>
      </c>
      <c r="L50" s="72">
        <f t="shared" si="23"/>
        <v>342092.675615357</v>
      </c>
      <c r="M50" s="38">
        <f>Assumptions!$D$7</f>
        <v>914</v>
      </c>
      <c r="N50" s="50">
        <f t="shared" si="18"/>
        <v>374.2808267126444</v>
      </c>
      <c r="O50" s="65">
        <f t="shared" si="24"/>
        <v>391104.03010255715</v>
      </c>
      <c r="P50" s="10">
        <f>Assumptions!$D$8</f>
        <v>914</v>
      </c>
      <c r="Q50" s="51">
        <f t="shared" si="19"/>
        <v>427.90375284743669</v>
      </c>
    </row>
    <row r="51" spans="1:18" x14ac:dyDescent="0.2">
      <c r="B51" s="43">
        <v>140</v>
      </c>
      <c r="C51" s="85">
        <f t="shared" si="20"/>
        <v>250977.60720626672</v>
      </c>
      <c r="D51" s="33">
        <f>Assumptions!$D$4</f>
        <v>376</v>
      </c>
      <c r="E51" s="47">
        <f t="shared" si="15"/>
        <v>667.4936361868796</v>
      </c>
      <c r="F51" s="82">
        <f t="shared" si="21"/>
        <v>274660.94628732989</v>
      </c>
      <c r="G51" s="36">
        <f>Assumptions!$D$5</f>
        <v>602</v>
      </c>
      <c r="H51" s="48">
        <f t="shared" si="16"/>
        <v>456.24741908194335</v>
      </c>
      <c r="I51" s="76">
        <f t="shared" si="22"/>
        <v>346204.3664280416</v>
      </c>
      <c r="J51" s="37">
        <f>Assumptions!$D$6</f>
        <v>738</v>
      </c>
      <c r="K51" s="49">
        <f t="shared" si="17"/>
        <v>469.11160762607261</v>
      </c>
      <c r="L51" s="72">
        <f t="shared" si="23"/>
        <v>412813.7575935318</v>
      </c>
      <c r="M51" s="38">
        <f>Assumptions!$D$7</f>
        <v>914</v>
      </c>
      <c r="N51" s="50">
        <f t="shared" si="18"/>
        <v>451.65618992727769</v>
      </c>
      <c r="O51" s="65">
        <f t="shared" si="24"/>
        <v>469884.0260735937</v>
      </c>
      <c r="P51" s="10">
        <f>Assumptions!$D$8</f>
        <v>914</v>
      </c>
      <c r="Q51" s="51">
        <f t="shared" si="19"/>
        <v>514.09630861443509</v>
      </c>
      <c r="R51" s="3"/>
    </row>
    <row r="52" spans="1:18" x14ac:dyDescent="0.2">
      <c r="B52" s="20"/>
      <c r="G52" s="12"/>
      <c r="J52" s="12"/>
      <c r="M52" s="12"/>
      <c r="P52" s="12"/>
      <c r="R52" s="3"/>
    </row>
    <row r="53" spans="1:18" x14ac:dyDescent="0.2">
      <c r="A53" s="20" t="s">
        <v>89</v>
      </c>
      <c r="B53" s="20"/>
      <c r="E53" s="42">
        <f>Assumptions!D15</f>
        <v>5.5E-2</v>
      </c>
      <c r="G53" s="12"/>
      <c r="J53" s="12"/>
      <c r="M53" s="12"/>
      <c r="P53" s="12"/>
      <c r="R53" s="3"/>
    </row>
    <row r="54" spans="1:18" s="9" customFormat="1" x14ac:dyDescent="0.2">
      <c r="B54" s="22"/>
      <c r="C54" s="383" t="s">
        <v>70</v>
      </c>
      <c r="D54" s="375"/>
      <c r="E54" s="376"/>
      <c r="F54" s="384" t="s">
        <v>71</v>
      </c>
      <c r="G54" s="377"/>
      <c r="H54" s="378"/>
      <c r="I54" s="379" t="s">
        <v>72</v>
      </c>
      <c r="J54" s="380"/>
      <c r="K54" s="381"/>
      <c r="L54" s="369" t="s">
        <v>73</v>
      </c>
      <c r="M54" s="370"/>
      <c r="N54" s="371"/>
      <c r="O54" s="372" t="s">
        <v>74</v>
      </c>
      <c r="P54" s="373"/>
      <c r="Q54" s="374"/>
    </row>
    <row r="55" spans="1:18" s="9" customFormat="1" x14ac:dyDescent="0.2">
      <c r="B55" s="22" t="s">
        <v>55</v>
      </c>
      <c r="C55" s="86" t="s">
        <v>66</v>
      </c>
      <c r="D55" s="32" t="s">
        <v>114</v>
      </c>
      <c r="E55" s="53" t="s">
        <v>88</v>
      </c>
      <c r="F55" s="80" t="s">
        <v>66</v>
      </c>
      <c r="G55" s="34" t="s">
        <v>114</v>
      </c>
      <c r="H55" s="57" t="s">
        <v>88</v>
      </c>
      <c r="I55" s="74" t="s">
        <v>66</v>
      </c>
      <c r="J55" s="26" t="s">
        <v>114</v>
      </c>
      <c r="K55" s="58" t="s">
        <v>88</v>
      </c>
      <c r="L55" s="70" t="s">
        <v>66</v>
      </c>
      <c r="M55" s="28" t="s">
        <v>114</v>
      </c>
      <c r="N55" s="60" t="s">
        <v>88</v>
      </c>
      <c r="O55" s="63" t="s">
        <v>66</v>
      </c>
      <c r="P55" s="30" t="s">
        <v>114</v>
      </c>
      <c r="Q55" s="61" t="s">
        <v>88</v>
      </c>
    </row>
    <row r="56" spans="1:18" x14ac:dyDescent="0.2">
      <c r="B56" s="43">
        <v>30</v>
      </c>
      <c r="C56" s="85">
        <f t="shared" ref="C56:C63" si="25">(C20/$E$53)*12</f>
        <v>8727.2727272727279</v>
      </c>
      <c r="D56" s="33">
        <f>Assumptions!$D$4</f>
        <v>376</v>
      </c>
      <c r="E56" s="47">
        <f t="shared" ref="E56:E63" si="26">C56/D56</f>
        <v>23.210831721470022</v>
      </c>
      <c r="F56" s="82">
        <f t="shared" ref="F56:F63" si="27">(F20/$E$53)*12</f>
        <v>17236.363636363636</v>
      </c>
      <c r="G56" s="36">
        <f>Assumptions!$D$5</f>
        <v>602</v>
      </c>
      <c r="H56" s="48">
        <f t="shared" ref="H56:H63" si="28">F56/G56</f>
        <v>28.631833282996073</v>
      </c>
      <c r="I56" s="76">
        <f t="shared" ref="I56:I63" si="29">(I20/$E$53)*12</f>
        <v>42545.454545454544</v>
      </c>
      <c r="J56" s="37">
        <f>Assumptions!$D$6</f>
        <v>738</v>
      </c>
      <c r="K56" s="49">
        <f t="shared" ref="K56:K63" si="30">I56/J56</f>
        <v>57.649667405764966</v>
      </c>
      <c r="L56" s="72">
        <f t="shared" ref="L56:L63" si="31">(L20/$E$53)*12</f>
        <v>66109.090909090912</v>
      </c>
      <c r="M56" s="38">
        <f>Assumptions!$D$7</f>
        <v>914</v>
      </c>
      <c r="N56" s="50">
        <f t="shared" ref="N56:N63" si="32">L56/M56</f>
        <v>72.329421125920035</v>
      </c>
      <c r="O56" s="65">
        <f t="shared" ref="O56:O63" si="33">(O20/$E$53)*12</f>
        <v>86400</v>
      </c>
      <c r="P56" s="10">
        <f>Assumptions!$D$8</f>
        <v>914</v>
      </c>
      <c r="Q56" s="51">
        <f t="shared" ref="Q56:Q63" si="34">O56/P56</f>
        <v>94.529540481400431</v>
      </c>
      <c r="R56" s="3"/>
    </row>
    <row r="57" spans="1:18" x14ac:dyDescent="0.2">
      <c r="B57" s="43">
        <v>50</v>
      </c>
      <c r="C57" s="85">
        <f>(C21/$E$53)*12</f>
        <v>87490.909090909088</v>
      </c>
      <c r="D57" s="33">
        <f>Assumptions!$D$4</f>
        <v>376</v>
      </c>
      <c r="E57" s="47">
        <f t="shared" si="26"/>
        <v>232.68858800773694</v>
      </c>
      <c r="F57" s="82">
        <f t="shared" si="27"/>
        <v>101454.54545454544</v>
      </c>
      <c r="G57" s="36">
        <f>Assumptions!$D$5</f>
        <v>602</v>
      </c>
      <c r="H57" s="48">
        <f t="shared" si="28"/>
        <v>168.5291452733313</v>
      </c>
      <c r="I57" s="76">
        <f t="shared" si="29"/>
        <v>143563.63636363635</v>
      </c>
      <c r="J57" s="37">
        <f>Assumptions!$D$6</f>
        <v>738</v>
      </c>
      <c r="K57" s="49">
        <f t="shared" si="30"/>
        <v>194.53067257945304</v>
      </c>
      <c r="L57" s="72">
        <f t="shared" si="31"/>
        <v>183054.54545454544</v>
      </c>
      <c r="M57" s="38">
        <f>Assumptions!$D$7</f>
        <v>914</v>
      </c>
      <c r="N57" s="50">
        <f t="shared" si="32"/>
        <v>200.27849612094687</v>
      </c>
      <c r="O57" s="65">
        <f t="shared" si="33"/>
        <v>216654.54545454547</v>
      </c>
      <c r="P57" s="10">
        <f>Assumptions!$D$8</f>
        <v>914</v>
      </c>
      <c r="Q57" s="51">
        <f t="shared" si="34"/>
        <v>237.03998408593597</v>
      </c>
      <c r="R57" s="3"/>
    </row>
    <row r="58" spans="1:18" x14ac:dyDescent="0.2">
      <c r="B58" s="43">
        <v>60</v>
      </c>
      <c r="C58" s="85">
        <f t="shared" si="25"/>
        <v>126763.63636363637</v>
      </c>
      <c r="D58" s="33">
        <f>Assumptions!$D$4</f>
        <v>376</v>
      </c>
      <c r="E58" s="47">
        <f t="shared" si="26"/>
        <v>337.13733075435204</v>
      </c>
      <c r="F58" s="82">
        <f t="shared" si="27"/>
        <v>143563.63636363635</v>
      </c>
      <c r="G58" s="36">
        <f>Assumptions!$D$5</f>
        <v>602</v>
      </c>
      <c r="H58" s="48">
        <f t="shared" si="28"/>
        <v>238.47780126849892</v>
      </c>
      <c r="I58" s="76">
        <f t="shared" si="29"/>
        <v>194181.81818181818</v>
      </c>
      <c r="J58" s="37">
        <f>Assumptions!$D$6</f>
        <v>738</v>
      </c>
      <c r="K58" s="49">
        <f t="shared" si="30"/>
        <v>263.1189948263119</v>
      </c>
      <c r="L58" s="72">
        <f t="shared" si="31"/>
        <v>241527.27272727274</v>
      </c>
      <c r="M58" s="38">
        <f>Assumptions!$D$7</f>
        <v>914</v>
      </c>
      <c r="N58" s="50">
        <f t="shared" si="32"/>
        <v>264.25303361846034</v>
      </c>
      <c r="O58" s="65">
        <f t="shared" si="33"/>
        <v>281890.90909090912</v>
      </c>
      <c r="P58" s="10">
        <f>Assumptions!$D$8</f>
        <v>914</v>
      </c>
      <c r="Q58" s="51">
        <f t="shared" si="34"/>
        <v>308.41456136860955</v>
      </c>
      <c r="R58" s="3"/>
    </row>
    <row r="59" spans="1:18" x14ac:dyDescent="0.2">
      <c r="B59" s="43">
        <v>80</v>
      </c>
      <c r="C59" s="85">
        <f t="shared" si="25"/>
        <v>205527.27272727274</v>
      </c>
      <c r="D59" s="33">
        <f>Assumptions!$D$4</f>
        <v>376</v>
      </c>
      <c r="E59" s="47">
        <f t="shared" si="26"/>
        <v>546.61508704061896</v>
      </c>
      <c r="F59" s="82">
        <f t="shared" si="27"/>
        <v>228000</v>
      </c>
      <c r="G59" s="36">
        <f>Assumptions!$D$5</f>
        <v>602</v>
      </c>
      <c r="H59" s="48">
        <f t="shared" si="28"/>
        <v>378.73754152823921</v>
      </c>
      <c r="I59" s="76">
        <f t="shared" si="29"/>
        <v>295418.18181818182</v>
      </c>
      <c r="J59" s="37">
        <f>Assumptions!$D$6</f>
        <v>738</v>
      </c>
      <c r="K59" s="49">
        <f t="shared" si="30"/>
        <v>400.29563932002958</v>
      </c>
      <c r="L59" s="72">
        <f t="shared" si="31"/>
        <v>358472.72727272729</v>
      </c>
      <c r="M59" s="38">
        <f>Assumptions!$D$7</f>
        <v>914</v>
      </c>
      <c r="N59" s="50">
        <f t="shared" si="32"/>
        <v>392.20210861348721</v>
      </c>
      <c r="O59" s="65">
        <f t="shared" si="33"/>
        <v>412363.63636363635</v>
      </c>
      <c r="P59" s="10">
        <f>Assumptions!$D$8</f>
        <v>914</v>
      </c>
      <c r="Q59" s="51">
        <f t="shared" si="34"/>
        <v>451.16371593395661</v>
      </c>
      <c r="R59" s="3"/>
    </row>
    <row r="60" spans="1:18" ht="12" customHeight="1" x14ac:dyDescent="0.2">
      <c r="B60" s="43">
        <v>100</v>
      </c>
      <c r="C60" s="85">
        <f t="shared" si="25"/>
        <v>206618.18181818182</v>
      </c>
      <c r="D60" s="33">
        <f>Assumptions!$D$4</f>
        <v>376</v>
      </c>
      <c r="E60" s="47">
        <f t="shared" si="26"/>
        <v>549.51644100580268</v>
      </c>
      <c r="F60" s="82">
        <f t="shared" si="27"/>
        <v>229090.90909090912</v>
      </c>
      <c r="G60" s="36">
        <f>Assumptions!$D$5</f>
        <v>602</v>
      </c>
      <c r="H60" s="48">
        <f t="shared" si="28"/>
        <v>380.5496828752643</v>
      </c>
      <c r="I60" s="76">
        <f t="shared" si="29"/>
        <v>296727.27272727271</v>
      </c>
      <c r="J60" s="37">
        <f>Assumptions!$D$6</f>
        <v>738</v>
      </c>
      <c r="K60" s="49">
        <f t="shared" si="30"/>
        <v>402.06947524020694</v>
      </c>
      <c r="L60" s="72">
        <f t="shared" si="31"/>
        <v>360000</v>
      </c>
      <c r="M60" s="38">
        <f>Assumptions!$D$7</f>
        <v>914</v>
      </c>
      <c r="N60" s="50">
        <f t="shared" si="32"/>
        <v>393.87308533916848</v>
      </c>
      <c r="O60" s="65">
        <f t="shared" si="33"/>
        <v>414109.09090909094</v>
      </c>
      <c r="P60" s="10">
        <f>Assumptions!$D$8</f>
        <v>914</v>
      </c>
      <c r="Q60" s="51">
        <f t="shared" si="34"/>
        <v>453.0734036204496</v>
      </c>
      <c r="R60" s="3"/>
    </row>
    <row r="61" spans="1:18" x14ac:dyDescent="0.2">
      <c r="B61" s="43">
        <v>110</v>
      </c>
      <c r="C61" s="85">
        <f>(C25/$E$53)*12</f>
        <v>238145.45454545453</v>
      </c>
      <c r="D61" s="33">
        <f>Assumptions!$D$4</f>
        <v>376</v>
      </c>
      <c r="E61" s="47">
        <f t="shared" si="26"/>
        <v>633.36557059961308</v>
      </c>
      <c r="F61" s="82">
        <f t="shared" si="27"/>
        <v>262909.09090909088</v>
      </c>
      <c r="G61" s="36">
        <f>Assumptions!$D$5</f>
        <v>602</v>
      </c>
      <c r="H61" s="48">
        <f t="shared" si="28"/>
        <v>436.72606463304135</v>
      </c>
      <c r="I61" s="76">
        <f t="shared" si="29"/>
        <v>337309.09090909088</v>
      </c>
      <c r="J61" s="37">
        <f>Assumptions!$D$6</f>
        <v>738</v>
      </c>
      <c r="K61" s="49">
        <f t="shared" si="30"/>
        <v>457.05838876570579</v>
      </c>
      <c r="L61" s="72">
        <f t="shared" si="31"/>
        <v>406909.09090909094</v>
      </c>
      <c r="M61" s="38">
        <f>Assumptions!$D$7</f>
        <v>914</v>
      </c>
      <c r="N61" s="50">
        <f t="shared" si="32"/>
        <v>445.19594191366622</v>
      </c>
      <c r="O61" s="65">
        <f t="shared" si="33"/>
        <v>466472.72727272729</v>
      </c>
      <c r="P61" s="10">
        <f>Assumptions!$D$8</f>
        <v>914</v>
      </c>
      <c r="Q61" s="51">
        <f t="shared" si="34"/>
        <v>510.36403421523772</v>
      </c>
      <c r="R61" s="3"/>
    </row>
    <row r="62" spans="1:18" x14ac:dyDescent="0.2">
      <c r="B62" s="43">
        <v>120</v>
      </c>
      <c r="C62" s="85">
        <f t="shared" si="25"/>
        <v>269672.72727272729</v>
      </c>
      <c r="D62" s="33">
        <f>Assumptions!$D$4</f>
        <v>376</v>
      </c>
      <c r="E62" s="47">
        <f t="shared" si="26"/>
        <v>717.21470019342371</v>
      </c>
      <c r="F62" s="82">
        <f t="shared" si="27"/>
        <v>296727.27272727271</v>
      </c>
      <c r="G62" s="36">
        <f>Assumptions!$D$5</f>
        <v>602</v>
      </c>
      <c r="H62" s="48">
        <f t="shared" si="28"/>
        <v>492.90244639081845</v>
      </c>
      <c r="I62" s="76">
        <f t="shared" si="29"/>
        <v>377890.90909090912</v>
      </c>
      <c r="J62" s="37">
        <f>Assumptions!$D$6</f>
        <v>738</v>
      </c>
      <c r="K62" s="49">
        <f t="shared" si="30"/>
        <v>512.0473022912048</v>
      </c>
      <c r="L62" s="72">
        <f t="shared" si="31"/>
        <v>453818.18181818177</v>
      </c>
      <c r="M62" s="38">
        <f>Assumptions!$D$7</f>
        <v>914</v>
      </c>
      <c r="N62" s="50">
        <f t="shared" si="32"/>
        <v>496.51879848816384</v>
      </c>
      <c r="O62" s="65">
        <f t="shared" si="33"/>
        <v>518836.36363636365</v>
      </c>
      <c r="P62" s="10">
        <f>Assumptions!$D$8</f>
        <v>914</v>
      </c>
      <c r="Q62" s="51">
        <f t="shared" si="34"/>
        <v>567.65466481002591</v>
      </c>
      <c r="R62" s="3"/>
    </row>
    <row r="63" spans="1:18" x14ac:dyDescent="0.2">
      <c r="B63" s="43">
        <v>140</v>
      </c>
      <c r="C63" s="85">
        <f t="shared" si="25"/>
        <v>332945.45454545453</v>
      </c>
      <c r="D63" s="33">
        <f>Assumptions!$D$4</f>
        <v>376</v>
      </c>
      <c r="E63" s="47">
        <f t="shared" si="26"/>
        <v>885.49323017408119</v>
      </c>
      <c r="F63" s="82">
        <f t="shared" si="27"/>
        <v>364363.63636363635</v>
      </c>
      <c r="G63" s="36">
        <f>Assumptions!$D$5</f>
        <v>602</v>
      </c>
      <c r="H63" s="48">
        <f t="shared" si="28"/>
        <v>605.25520990637267</v>
      </c>
      <c r="I63" s="76">
        <f t="shared" si="29"/>
        <v>459272.72727272729</v>
      </c>
      <c r="J63" s="37">
        <f>Assumptions!$D$6</f>
        <v>738</v>
      </c>
      <c r="K63" s="49">
        <f t="shared" si="30"/>
        <v>622.32076866223213</v>
      </c>
      <c r="L63" s="72">
        <f t="shared" si="31"/>
        <v>547636.36363636365</v>
      </c>
      <c r="M63" s="38">
        <f>Assumptions!$D$7</f>
        <v>914</v>
      </c>
      <c r="N63" s="50">
        <f t="shared" si="32"/>
        <v>599.16451163715931</v>
      </c>
      <c r="O63" s="65">
        <f t="shared" si="33"/>
        <v>623345.45454545459</v>
      </c>
      <c r="P63" s="10">
        <f>Assumptions!$D$8</f>
        <v>914</v>
      </c>
      <c r="Q63" s="51">
        <f t="shared" si="34"/>
        <v>681.99721503879061</v>
      </c>
      <c r="R63" s="3"/>
    </row>
    <row r="64" spans="1:18" x14ac:dyDescent="0.2">
      <c r="B64" s="20"/>
      <c r="G64" s="12"/>
      <c r="J64" s="12"/>
      <c r="M64" s="12"/>
      <c r="P64" s="12"/>
      <c r="R64" s="3"/>
    </row>
    <row r="65" spans="1:17" x14ac:dyDescent="0.2">
      <c r="A65" s="20" t="s">
        <v>90</v>
      </c>
      <c r="B65" s="20"/>
      <c r="G65" s="12"/>
      <c r="I65" s="69"/>
      <c r="J65" s="12"/>
      <c r="M65" s="12"/>
      <c r="P65" s="12"/>
    </row>
    <row r="66" spans="1:17" s="9" customFormat="1" x14ac:dyDescent="0.2">
      <c r="B66" s="22"/>
      <c r="C66" s="375" t="s">
        <v>70</v>
      </c>
      <c r="D66" s="375"/>
      <c r="E66" s="376"/>
      <c r="F66" s="377" t="s">
        <v>71</v>
      </c>
      <c r="G66" s="377"/>
      <c r="H66" s="378"/>
      <c r="I66" s="379" t="s">
        <v>72</v>
      </c>
      <c r="J66" s="380"/>
      <c r="K66" s="381"/>
      <c r="L66" s="369" t="s">
        <v>73</v>
      </c>
      <c r="M66" s="370"/>
      <c r="N66" s="371"/>
      <c r="O66" s="372" t="s">
        <v>74</v>
      </c>
      <c r="P66" s="373"/>
      <c r="Q66" s="374"/>
    </row>
    <row r="67" spans="1:17" s="9" customFormat="1" x14ac:dyDescent="0.2">
      <c r="B67" s="22" t="s">
        <v>55</v>
      </c>
      <c r="C67" s="84" t="s">
        <v>2</v>
      </c>
      <c r="D67" s="32" t="s">
        <v>114</v>
      </c>
      <c r="E67" s="53" t="s">
        <v>84</v>
      </c>
      <c r="F67" s="78" t="s">
        <v>2</v>
      </c>
      <c r="G67" s="34" t="s">
        <v>114</v>
      </c>
      <c r="H67" s="57" t="s">
        <v>84</v>
      </c>
      <c r="I67" s="74" t="s">
        <v>2</v>
      </c>
      <c r="J67" s="26" t="s">
        <v>114</v>
      </c>
      <c r="K67" s="58" t="s">
        <v>84</v>
      </c>
      <c r="L67" s="70" t="s">
        <v>2</v>
      </c>
      <c r="M67" s="28" t="s">
        <v>114</v>
      </c>
      <c r="N67" s="60" t="s">
        <v>84</v>
      </c>
      <c r="O67" s="63" t="s">
        <v>2</v>
      </c>
      <c r="P67" s="30" t="s">
        <v>114</v>
      </c>
      <c r="Q67" s="61" t="s">
        <v>84</v>
      </c>
    </row>
    <row r="68" spans="1:17" x14ac:dyDescent="0.2">
      <c r="B68" s="43">
        <v>30</v>
      </c>
      <c r="C68" s="85">
        <f>C8</f>
        <v>540</v>
      </c>
      <c r="D68" s="33">
        <f>Assumptions!$D$4</f>
        <v>376</v>
      </c>
      <c r="E68" s="47">
        <f>E8</f>
        <v>1.4361702127659575</v>
      </c>
      <c r="F68" s="82">
        <f t="shared" ref="E68:F75" si="35">F8</f>
        <v>579</v>
      </c>
      <c r="G68" s="36">
        <f>Assumptions!$D$5</f>
        <v>602</v>
      </c>
      <c r="H68" s="48">
        <f t="shared" ref="H68:I75" si="36">H8</f>
        <v>0.96179401993355484</v>
      </c>
      <c r="I68" s="76">
        <f t="shared" si="36"/>
        <v>695</v>
      </c>
      <c r="J68" s="37">
        <f>Assumptions!$D$6</f>
        <v>738</v>
      </c>
      <c r="K68" s="49">
        <f t="shared" ref="K68:L75" si="37">K8</f>
        <v>0.9417344173441734</v>
      </c>
      <c r="L68" s="72">
        <f t="shared" si="37"/>
        <v>803</v>
      </c>
      <c r="M68" s="38">
        <f>Assumptions!$D$7</f>
        <v>914</v>
      </c>
      <c r="N68" s="50">
        <f t="shared" ref="N68:O75" si="38">N8</f>
        <v>0.87855579868708966</v>
      </c>
      <c r="O68" s="65">
        <f t="shared" si="38"/>
        <v>896</v>
      </c>
      <c r="P68" s="10">
        <f>Assumptions!$D$8</f>
        <v>914</v>
      </c>
      <c r="Q68" s="51">
        <f>Q8</f>
        <v>0.98030634573304154</v>
      </c>
    </row>
    <row r="69" spans="1:17" x14ac:dyDescent="0.2">
      <c r="B69" s="43">
        <v>50</v>
      </c>
      <c r="C69" s="85">
        <f t="shared" ref="C69:C75" si="39">C9</f>
        <v>901</v>
      </c>
      <c r="D69" s="33">
        <f>Assumptions!$D$4</f>
        <v>376</v>
      </c>
      <c r="E69" s="47">
        <f t="shared" si="35"/>
        <v>2.396276595744681</v>
      </c>
      <c r="F69" s="82">
        <f t="shared" si="35"/>
        <v>965</v>
      </c>
      <c r="G69" s="36">
        <f>Assumptions!$D$5</f>
        <v>602</v>
      </c>
      <c r="H69" s="48">
        <f t="shared" si="36"/>
        <v>1.6029900332225913</v>
      </c>
      <c r="I69" s="76">
        <f t="shared" si="36"/>
        <v>1158</v>
      </c>
      <c r="J69" s="37">
        <f>Assumptions!$D$6</f>
        <v>738</v>
      </c>
      <c r="K69" s="49">
        <f t="shared" si="37"/>
        <v>1.5691056910569106</v>
      </c>
      <c r="L69" s="72">
        <f t="shared" si="37"/>
        <v>1339</v>
      </c>
      <c r="M69" s="38">
        <f>Assumptions!$D$7</f>
        <v>914</v>
      </c>
      <c r="N69" s="50">
        <f t="shared" si="38"/>
        <v>1.4649890590809629</v>
      </c>
      <c r="O69" s="65">
        <f t="shared" si="38"/>
        <v>1493</v>
      </c>
      <c r="P69" s="10">
        <f>Assumptions!$D$8</f>
        <v>914</v>
      </c>
      <c r="Q69" s="51">
        <f t="shared" ref="Q69:Q75" si="40">Q9</f>
        <v>1.6334792122538293</v>
      </c>
    </row>
    <row r="70" spans="1:17" x14ac:dyDescent="0.2">
      <c r="B70" s="43">
        <v>60</v>
      </c>
      <c r="C70" s="85">
        <f t="shared" si="39"/>
        <v>1081</v>
      </c>
      <c r="D70" s="33">
        <f>Assumptions!$D$4</f>
        <v>376</v>
      </c>
      <c r="E70" s="47">
        <f t="shared" si="35"/>
        <v>2.875</v>
      </c>
      <c r="F70" s="82">
        <f t="shared" si="35"/>
        <v>1158</v>
      </c>
      <c r="G70" s="36">
        <f>Assumptions!$D$5</f>
        <v>602</v>
      </c>
      <c r="H70" s="48">
        <f t="shared" si="36"/>
        <v>1.9235880398671097</v>
      </c>
      <c r="I70" s="76">
        <f t="shared" si="36"/>
        <v>1390</v>
      </c>
      <c r="J70" s="37">
        <f>Assumptions!$D$6</f>
        <v>738</v>
      </c>
      <c r="K70" s="49">
        <f t="shared" si="37"/>
        <v>1.8834688346883468</v>
      </c>
      <c r="L70" s="72">
        <f t="shared" si="37"/>
        <v>1607</v>
      </c>
      <c r="M70" s="38">
        <f>Assumptions!$D$7</f>
        <v>914</v>
      </c>
      <c r="N70" s="50">
        <f t="shared" si="38"/>
        <v>1.7582056892778994</v>
      </c>
      <c r="O70" s="65">
        <f t="shared" si="38"/>
        <v>1792</v>
      </c>
      <c r="P70" s="10">
        <f>Assumptions!$D$8</f>
        <v>914</v>
      </c>
      <c r="Q70" s="51">
        <f t="shared" si="40"/>
        <v>1.9606126914660831</v>
      </c>
    </row>
    <row r="71" spans="1:17" x14ac:dyDescent="0.2">
      <c r="B71" s="43">
        <v>80</v>
      </c>
      <c r="C71" s="85">
        <f t="shared" si="39"/>
        <v>1442</v>
      </c>
      <c r="D71" s="33">
        <f>Assumptions!$D$4</f>
        <v>376</v>
      </c>
      <c r="E71" s="47">
        <f t="shared" si="35"/>
        <v>3.8351063829787235</v>
      </c>
      <c r="F71" s="82">
        <f t="shared" si="35"/>
        <v>1545</v>
      </c>
      <c r="G71" s="36">
        <f>Assumptions!$D$5</f>
        <v>602</v>
      </c>
      <c r="H71" s="48">
        <f t="shared" si="36"/>
        <v>2.5664451827242525</v>
      </c>
      <c r="I71" s="76">
        <f t="shared" si="36"/>
        <v>1854</v>
      </c>
      <c r="J71" s="37">
        <f>Assumptions!$D$6</f>
        <v>738</v>
      </c>
      <c r="K71" s="49">
        <f t="shared" si="37"/>
        <v>2.5121951219512195</v>
      </c>
      <c r="L71" s="72">
        <f t="shared" si="37"/>
        <v>2143</v>
      </c>
      <c r="M71" s="38">
        <f>Assumptions!$D$7</f>
        <v>914</v>
      </c>
      <c r="N71" s="50">
        <f t="shared" si="38"/>
        <v>2.3446389496717726</v>
      </c>
      <c r="O71" s="65">
        <f t="shared" si="38"/>
        <v>2390</v>
      </c>
      <c r="P71" s="10">
        <f>Assumptions!$D$8</f>
        <v>914</v>
      </c>
      <c r="Q71" s="51">
        <f t="shared" si="40"/>
        <v>2.6148796498905909</v>
      </c>
    </row>
    <row r="72" spans="1:17" ht="12" customHeight="1" x14ac:dyDescent="0.2">
      <c r="B72" s="43">
        <v>100</v>
      </c>
      <c r="C72" s="85">
        <f t="shared" si="39"/>
        <v>1447</v>
      </c>
      <c r="D72" s="33">
        <f>Assumptions!$D$4</f>
        <v>376</v>
      </c>
      <c r="E72" s="47">
        <f t="shared" si="35"/>
        <v>3.8484042553191489</v>
      </c>
      <c r="F72" s="82">
        <f t="shared" si="35"/>
        <v>1550</v>
      </c>
      <c r="G72" s="36">
        <f>Assumptions!$D$5</f>
        <v>602</v>
      </c>
      <c r="H72" s="48">
        <f t="shared" si="36"/>
        <v>2.5747508305647839</v>
      </c>
      <c r="I72" s="76">
        <f t="shared" si="36"/>
        <v>1860</v>
      </c>
      <c r="J72" s="37">
        <f>Assumptions!$D$6</f>
        <v>738</v>
      </c>
      <c r="K72" s="49">
        <f t="shared" si="37"/>
        <v>2.5203252032520327</v>
      </c>
      <c r="L72" s="72">
        <f t="shared" si="37"/>
        <v>2150</v>
      </c>
      <c r="M72" s="38">
        <f>Assumptions!$D$7</f>
        <v>914</v>
      </c>
      <c r="N72" s="50">
        <f t="shared" si="38"/>
        <v>2.3522975929978118</v>
      </c>
      <c r="O72" s="65">
        <f t="shared" si="38"/>
        <v>2398</v>
      </c>
      <c r="P72" s="10">
        <f>Assumptions!$D$8</f>
        <v>914</v>
      </c>
      <c r="Q72" s="51">
        <f t="shared" si="40"/>
        <v>2.62363238512035</v>
      </c>
    </row>
    <row r="73" spans="1:17" x14ac:dyDescent="0.2">
      <c r="B73" s="43">
        <v>110</v>
      </c>
      <c r="C73" s="85">
        <f>C13</f>
        <v>1591.5</v>
      </c>
      <c r="D73" s="33">
        <f>Assumptions!$D$4</f>
        <v>376</v>
      </c>
      <c r="E73" s="47">
        <f t="shared" si="35"/>
        <v>4.2327127659574471</v>
      </c>
      <c r="F73" s="82">
        <f t="shared" si="35"/>
        <v>1705</v>
      </c>
      <c r="G73" s="36">
        <f>Assumptions!$D$5</f>
        <v>602</v>
      </c>
      <c r="H73" s="48">
        <f t="shared" si="36"/>
        <v>2.8322259136212624</v>
      </c>
      <c r="I73" s="76">
        <f t="shared" si="36"/>
        <v>2046</v>
      </c>
      <c r="J73" s="37">
        <f>Assumptions!$D$6</f>
        <v>738</v>
      </c>
      <c r="K73" s="49">
        <f t="shared" si="37"/>
        <v>2.7723577235772359</v>
      </c>
      <c r="L73" s="72">
        <f t="shared" si="37"/>
        <v>2365</v>
      </c>
      <c r="M73" s="38">
        <f>Assumptions!$D$7</f>
        <v>914</v>
      </c>
      <c r="N73" s="50">
        <f t="shared" si="38"/>
        <v>2.587527352297593</v>
      </c>
      <c r="O73" s="65">
        <f t="shared" si="38"/>
        <v>2638</v>
      </c>
      <c r="P73" s="10">
        <f>Assumptions!$D$8</f>
        <v>914</v>
      </c>
      <c r="Q73" s="51">
        <f t="shared" si="40"/>
        <v>2.886214442013129</v>
      </c>
    </row>
    <row r="74" spans="1:17" x14ac:dyDescent="0.2">
      <c r="B74" s="43">
        <v>120</v>
      </c>
      <c r="C74" s="85">
        <f t="shared" si="39"/>
        <v>1736</v>
      </c>
      <c r="D74" s="33">
        <f>Assumptions!$D$4</f>
        <v>376</v>
      </c>
      <c r="E74" s="47">
        <f t="shared" si="35"/>
        <v>4.6170212765957448</v>
      </c>
      <c r="F74" s="82">
        <f t="shared" si="35"/>
        <v>1860</v>
      </c>
      <c r="G74" s="36">
        <f>Assumptions!$D$5</f>
        <v>602</v>
      </c>
      <c r="H74" s="48">
        <f t="shared" si="36"/>
        <v>3.0897009966777409</v>
      </c>
      <c r="I74" s="76">
        <f t="shared" si="36"/>
        <v>2232</v>
      </c>
      <c r="J74" s="37">
        <f>Assumptions!$D$6</f>
        <v>738</v>
      </c>
      <c r="K74" s="49">
        <f t="shared" si="37"/>
        <v>3.024390243902439</v>
      </c>
      <c r="L74" s="72">
        <f t="shared" si="37"/>
        <v>2580</v>
      </c>
      <c r="M74" s="38">
        <f>Assumptions!$D$7</f>
        <v>914</v>
      </c>
      <c r="N74" s="50">
        <f t="shared" si="38"/>
        <v>2.8227571115973742</v>
      </c>
      <c r="O74" s="65">
        <f t="shared" si="38"/>
        <v>2878</v>
      </c>
      <c r="P74" s="10">
        <f>Assumptions!$D$8</f>
        <v>914</v>
      </c>
      <c r="Q74" s="51">
        <f t="shared" si="40"/>
        <v>3.1487964989059081</v>
      </c>
    </row>
    <row r="75" spans="1:17" x14ac:dyDescent="0.2">
      <c r="B75" s="43">
        <v>140</v>
      </c>
      <c r="C75" s="85">
        <f t="shared" si="39"/>
        <v>2026</v>
      </c>
      <c r="D75" s="33">
        <f>Assumptions!$D$4</f>
        <v>376</v>
      </c>
      <c r="E75" s="47">
        <f t="shared" si="35"/>
        <v>5.3882978723404253</v>
      </c>
      <c r="F75" s="82">
        <f t="shared" si="35"/>
        <v>2170</v>
      </c>
      <c r="G75" s="36">
        <f>Assumptions!$D$5</f>
        <v>602</v>
      </c>
      <c r="H75" s="48">
        <f t="shared" si="36"/>
        <v>3.6046511627906979</v>
      </c>
      <c r="I75" s="76">
        <f t="shared" si="36"/>
        <v>2605</v>
      </c>
      <c r="J75" s="37">
        <f>Assumptions!$D$6</f>
        <v>738</v>
      </c>
      <c r="K75" s="49">
        <f t="shared" si="37"/>
        <v>3.5298102981029809</v>
      </c>
      <c r="L75" s="72">
        <f t="shared" si="37"/>
        <v>3010</v>
      </c>
      <c r="M75" s="38">
        <f>Assumptions!$D$7</f>
        <v>914</v>
      </c>
      <c r="N75" s="50">
        <f t="shared" si="38"/>
        <v>3.2932166301969366</v>
      </c>
      <c r="O75" s="65">
        <f t="shared" si="38"/>
        <v>3357</v>
      </c>
      <c r="P75" s="10">
        <f>Assumptions!$D$8</f>
        <v>914</v>
      </c>
      <c r="Q75" s="51">
        <f t="shared" si="40"/>
        <v>3.6728665207877462</v>
      </c>
    </row>
    <row r="76" spans="1:17" x14ac:dyDescent="0.2">
      <c r="B76" s="20"/>
      <c r="G76" s="12"/>
      <c r="J76" s="12"/>
      <c r="M76" s="12"/>
      <c r="P76" s="12"/>
    </row>
    <row r="77" spans="1:17" x14ac:dyDescent="0.2">
      <c r="A77" s="20" t="s">
        <v>91</v>
      </c>
      <c r="B77" s="20"/>
      <c r="G77" s="12"/>
      <c r="J77" s="12"/>
      <c r="M77" s="12"/>
      <c r="P77" s="12"/>
    </row>
    <row r="78" spans="1:17" s="9" customFormat="1" x14ac:dyDescent="0.2">
      <c r="B78" s="22"/>
      <c r="C78" s="375" t="s">
        <v>70</v>
      </c>
      <c r="D78" s="375"/>
      <c r="E78" s="376"/>
      <c r="F78" s="377" t="s">
        <v>71</v>
      </c>
      <c r="G78" s="377"/>
      <c r="H78" s="378"/>
      <c r="I78" s="379" t="s">
        <v>72</v>
      </c>
      <c r="J78" s="380"/>
      <c r="K78" s="381"/>
      <c r="L78" s="369" t="s">
        <v>73</v>
      </c>
      <c r="M78" s="370"/>
      <c r="N78" s="371"/>
      <c r="O78" s="372" t="s">
        <v>74</v>
      </c>
      <c r="P78" s="373"/>
      <c r="Q78" s="374"/>
    </row>
    <row r="79" spans="1:17" s="9" customFormat="1" x14ac:dyDescent="0.2">
      <c r="B79" s="22" t="s">
        <v>55</v>
      </c>
      <c r="C79" s="84" t="s">
        <v>2</v>
      </c>
      <c r="D79" s="32" t="s">
        <v>114</v>
      </c>
      <c r="E79" s="53" t="s">
        <v>84</v>
      </c>
      <c r="F79" s="78" t="s">
        <v>2</v>
      </c>
      <c r="G79" s="34" t="s">
        <v>114</v>
      </c>
      <c r="H79" s="57" t="s">
        <v>84</v>
      </c>
      <c r="I79" s="74" t="s">
        <v>2</v>
      </c>
      <c r="J79" s="26" t="s">
        <v>114</v>
      </c>
      <c r="K79" s="58" t="s">
        <v>84</v>
      </c>
      <c r="L79" s="70" t="s">
        <v>2</v>
      </c>
      <c r="M79" s="28" t="s">
        <v>114</v>
      </c>
      <c r="N79" s="60" t="s">
        <v>84</v>
      </c>
      <c r="O79" s="63" t="s">
        <v>2</v>
      </c>
      <c r="P79" s="30" t="s">
        <v>114</v>
      </c>
      <c r="Q79" s="61" t="s">
        <v>84</v>
      </c>
    </row>
    <row r="80" spans="1:17" x14ac:dyDescent="0.2">
      <c r="B80" s="43">
        <v>120</v>
      </c>
      <c r="C80" s="85">
        <f>C74</f>
        <v>1736</v>
      </c>
      <c r="D80" s="40">
        <f>Assumptions!$D$4</f>
        <v>376</v>
      </c>
      <c r="E80" s="47">
        <f>C80/D80</f>
        <v>4.6170212765957448</v>
      </c>
      <c r="F80" s="82">
        <f>F74</f>
        <v>1860</v>
      </c>
      <c r="G80" s="36">
        <f>Assumptions!$D$5</f>
        <v>602</v>
      </c>
      <c r="H80" s="48">
        <f>F80/G80</f>
        <v>3.0897009966777409</v>
      </c>
      <c r="I80" s="76">
        <f>I74</f>
        <v>2232</v>
      </c>
      <c r="J80" s="37">
        <f>Assumptions!$D$6</f>
        <v>738</v>
      </c>
      <c r="K80" s="49">
        <f>I80/J80</f>
        <v>3.024390243902439</v>
      </c>
      <c r="L80" s="72">
        <f>L74</f>
        <v>2580</v>
      </c>
      <c r="M80" s="38">
        <f>Assumptions!$D$7</f>
        <v>914</v>
      </c>
      <c r="N80" s="50">
        <f>L80/M80</f>
        <v>2.8227571115973742</v>
      </c>
      <c r="O80" s="65">
        <f>O74</f>
        <v>2878</v>
      </c>
      <c r="P80" s="10">
        <f>Assumptions!$D$8</f>
        <v>914</v>
      </c>
      <c r="Q80" s="51">
        <f>O80/P80</f>
        <v>3.1487964989059081</v>
      </c>
    </row>
    <row r="81" spans="1:17" x14ac:dyDescent="0.2">
      <c r="B81" s="43">
        <v>30</v>
      </c>
      <c r="C81" s="88">
        <f>C68</f>
        <v>540</v>
      </c>
      <c r="D81" s="33">
        <f>Assumptions!$D$4</f>
        <v>376</v>
      </c>
      <c r="E81" s="47">
        <f>C81/D81</f>
        <v>1.4361702127659575</v>
      </c>
      <c r="F81" s="83">
        <f>F68</f>
        <v>579</v>
      </c>
      <c r="G81" s="36">
        <f>Assumptions!$D$5</f>
        <v>602</v>
      </c>
      <c r="H81" s="48">
        <f>F81/G81</f>
        <v>0.96179401993355484</v>
      </c>
      <c r="I81" s="77">
        <f>I68</f>
        <v>695</v>
      </c>
      <c r="J81" s="37">
        <f>Assumptions!$D$6</f>
        <v>738</v>
      </c>
      <c r="K81" s="49">
        <f>I81/J81</f>
        <v>0.9417344173441734</v>
      </c>
      <c r="L81" s="73">
        <f>L68</f>
        <v>803</v>
      </c>
      <c r="M81" s="38">
        <f>Assumptions!$D$7</f>
        <v>914</v>
      </c>
      <c r="N81" s="50">
        <f>L81/M81</f>
        <v>0.87855579868708966</v>
      </c>
      <c r="O81" s="66">
        <f>O68</f>
        <v>896</v>
      </c>
      <c r="P81" s="10">
        <f>Assumptions!$D$8</f>
        <v>914</v>
      </c>
      <c r="Q81" s="51">
        <f>O81/P81</f>
        <v>0.98030634573304154</v>
      </c>
    </row>
    <row r="82" spans="1:17" x14ac:dyDescent="0.2">
      <c r="B82" s="45" t="s">
        <v>96</v>
      </c>
      <c r="C82" s="85">
        <f>C80-C81</f>
        <v>1196</v>
      </c>
      <c r="D82" s="33"/>
      <c r="E82" s="47"/>
      <c r="F82" s="82">
        <f>F80-F81</f>
        <v>1281</v>
      </c>
      <c r="G82" s="36"/>
      <c r="H82" s="48"/>
      <c r="I82" s="76">
        <f>I80-I81</f>
        <v>1537</v>
      </c>
      <c r="J82" s="37"/>
      <c r="K82" s="49"/>
      <c r="L82" s="72">
        <f>L80-L81</f>
        <v>1777</v>
      </c>
      <c r="M82" s="38"/>
      <c r="N82" s="50"/>
      <c r="O82" s="65">
        <f>O80-O81</f>
        <v>1982</v>
      </c>
      <c r="P82" s="10"/>
      <c r="Q82" s="51"/>
    </row>
    <row r="83" spans="1:17" x14ac:dyDescent="0.2">
      <c r="B83" s="20"/>
      <c r="G83" s="12"/>
      <c r="J83" s="12"/>
      <c r="M83" s="12"/>
      <c r="P83" s="12"/>
    </row>
    <row r="84" spans="1:17" x14ac:dyDescent="0.2">
      <c r="A84" s="20" t="s">
        <v>92</v>
      </c>
      <c r="B84" s="20"/>
      <c r="G84" s="12"/>
      <c r="J84" s="12"/>
      <c r="M84" s="12"/>
      <c r="P84" s="12"/>
    </row>
    <row r="85" spans="1:17" s="9" customFormat="1" x14ac:dyDescent="0.2">
      <c r="B85" s="22"/>
      <c r="C85" s="375" t="s">
        <v>70</v>
      </c>
      <c r="D85" s="375"/>
      <c r="E85" s="376"/>
      <c r="F85" s="377" t="s">
        <v>71</v>
      </c>
      <c r="G85" s="377"/>
      <c r="H85" s="378"/>
      <c r="I85" s="379" t="s">
        <v>72</v>
      </c>
      <c r="J85" s="380"/>
      <c r="K85" s="381"/>
      <c r="L85" s="369" t="s">
        <v>73</v>
      </c>
      <c r="M85" s="370"/>
      <c r="N85" s="371"/>
      <c r="O85" s="372" t="s">
        <v>74</v>
      </c>
      <c r="P85" s="373"/>
      <c r="Q85" s="374"/>
    </row>
    <row r="86" spans="1:17" s="9" customFormat="1" x14ac:dyDescent="0.2">
      <c r="B86" s="22" t="s">
        <v>55</v>
      </c>
      <c r="C86" s="84" t="s">
        <v>2</v>
      </c>
      <c r="D86" s="32" t="s">
        <v>114</v>
      </c>
      <c r="E86" s="53" t="s">
        <v>84</v>
      </c>
      <c r="F86" s="78" t="s">
        <v>2</v>
      </c>
      <c r="G86" s="34" t="s">
        <v>114</v>
      </c>
      <c r="H86" s="57" t="s">
        <v>84</v>
      </c>
      <c r="I86" s="74" t="s">
        <v>2</v>
      </c>
      <c r="J86" s="26" t="s">
        <v>114</v>
      </c>
      <c r="K86" s="58" t="s">
        <v>84</v>
      </c>
      <c r="L86" s="70" t="s">
        <v>2</v>
      </c>
      <c r="M86" s="28" t="s">
        <v>114</v>
      </c>
      <c r="N86" s="60" t="s">
        <v>84</v>
      </c>
      <c r="O86" s="63" t="s">
        <v>2</v>
      </c>
      <c r="P86" s="30" t="s">
        <v>114</v>
      </c>
      <c r="Q86" s="61" t="s">
        <v>84</v>
      </c>
    </row>
    <row r="87" spans="1:17" x14ac:dyDescent="0.2">
      <c r="B87" s="43">
        <v>120</v>
      </c>
      <c r="C87" s="85">
        <f>C74</f>
        <v>1736</v>
      </c>
      <c r="D87" s="33">
        <f>Assumptions!$D$4</f>
        <v>376</v>
      </c>
      <c r="E87" s="47">
        <f>C87/D87</f>
        <v>4.6170212765957448</v>
      </c>
      <c r="F87" s="82">
        <f>F74</f>
        <v>1860</v>
      </c>
      <c r="G87" s="36">
        <f>Assumptions!$D$5</f>
        <v>602</v>
      </c>
      <c r="H87" s="48">
        <f>F87/G87</f>
        <v>3.0897009966777409</v>
      </c>
      <c r="I87" s="76">
        <f>I74</f>
        <v>2232</v>
      </c>
      <c r="J87" s="37">
        <f>Assumptions!$D$6</f>
        <v>738</v>
      </c>
      <c r="K87" s="49">
        <f>I87/J87</f>
        <v>3.024390243902439</v>
      </c>
      <c r="L87" s="72">
        <f>L74</f>
        <v>2580</v>
      </c>
      <c r="M87" s="38">
        <f>Assumptions!$D$7</f>
        <v>914</v>
      </c>
      <c r="N87" s="50">
        <f>L87/M87</f>
        <v>2.8227571115973742</v>
      </c>
      <c r="O87" s="65">
        <f>O74</f>
        <v>2878</v>
      </c>
      <c r="P87" s="10">
        <f>Assumptions!$D$8</f>
        <v>914</v>
      </c>
      <c r="Q87" s="51">
        <f>O87/P87</f>
        <v>3.1487964989059081</v>
      </c>
    </row>
    <row r="88" spans="1:17" x14ac:dyDescent="0.2">
      <c r="B88" s="43">
        <v>50</v>
      </c>
      <c r="C88" s="88">
        <f>C69</f>
        <v>901</v>
      </c>
      <c r="D88" s="33">
        <f>Assumptions!$D$4</f>
        <v>376</v>
      </c>
      <c r="E88" s="47">
        <f>C88/D88</f>
        <v>2.396276595744681</v>
      </c>
      <c r="F88" s="83">
        <f>F69</f>
        <v>965</v>
      </c>
      <c r="G88" s="36">
        <f>Assumptions!$D$5</f>
        <v>602</v>
      </c>
      <c r="H88" s="48">
        <f>F88/G88</f>
        <v>1.6029900332225913</v>
      </c>
      <c r="I88" s="77">
        <f>I69</f>
        <v>1158</v>
      </c>
      <c r="J88" s="37">
        <f>Assumptions!$D$6</f>
        <v>738</v>
      </c>
      <c r="K88" s="49">
        <f>I88/J88</f>
        <v>1.5691056910569106</v>
      </c>
      <c r="L88" s="73">
        <f>L69</f>
        <v>1339</v>
      </c>
      <c r="M88" s="38">
        <f>Assumptions!$D$7</f>
        <v>914</v>
      </c>
      <c r="N88" s="50">
        <f>L88/M88</f>
        <v>1.4649890590809629</v>
      </c>
      <c r="O88" s="66">
        <f>O69</f>
        <v>1493</v>
      </c>
      <c r="P88" s="10">
        <f>Assumptions!$D$8</f>
        <v>914</v>
      </c>
      <c r="Q88" s="51">
        <f>O88/P88</f>
        <v>1.6334792122538293</v>
      </c>
    </row>
    <row r="89" spans="1:17" x14ac:dyDescent="0.2">
      <c r="B89" s="45" t="s">
        <v>96</v>
      </c>
      <c r="C89" s="85">
        <f>C87-C88</f>
        <v>835</v>
      </c>
      <c r="D89" s="33"/>
      <c r="E89" s="47"/>
      <c r="F89" s="82">
        <f>F87-F88</f>
        <v>895</v>
      </c>
      <c r="G89" s="36"/>
      <c r="H89" s="48"/>
      <c r="I89" s="76">
        <f>I87-I88</f>
        <v>1074</v>
      </c>
      <c r="J89" s="37"/>
      <c r="K89" s="49"/>
      <c r="L89" s="72">
        <f>L87-L88</f>
        <v>1241</v>
      </c>
      <c r="M89" s="38"/>
      <c r="N89" s="50"/>
      <c r="O89" s="65">
        <f>O87-O88</f>
        <v>1385</v>
      </c>
      <c r="P89" s="10"/>
      <c r="Q89" s="51"/>
    </row>
    <row r="90" spans="1:17" x14ac:dyDescent="0.2">
      <c r="B90" s="20"/>
      <c r="G90" s="12"/>
      <c r="J90" s="12"/>
      <c r="M90" s="12"/>
      <c r="P90" s="12"/>
    </row>
    <row r="91" spans="1:17" x14ac:dyDescent="0.2">
      <c r="A91" s="20" t="s">
        <v>93</v>
      </c>
      <c r="B91" s="20"/>
      <c r="G91" s="12"/>
      <c r="J91" s="12"/>
      <c r="M91" s="12"/>
      <c r="P91" s="12"/>
    </row>
    <row r="92" spans="1:17" s="9" customFormat="1" x14ac:dyDescent="0.2">
      <c r="B92" s="22"/>
      <c r="C92" s="375" t="s">
        <v>70</v>
      </c>
      <c r="D92" s="375"/>
      <c r="E92" s="376"/>
      <c r="F92" s="377" t="s">
        <v>71</v>
      </c>
      <c r="G92" s="377"/>
      <c r="H92" s="378"/>
      <c r="I92" s="379" t="s">
        <v>72</v>
      </c>
      <c r="J92" s="380"/>
      <c r="K92" s="381"/>
      <c r="L92" s="369" t="s">
        <v>73</v>
      </c>
      <c r="M92" s="370"/>
      <c r="N92" s="371"/>
      <c r="O92" s="372" t="s">
        <v>74</v>
      </c>
      <c r="P92" s="373"/>
      <c r="Q92" s="374"/>
    </row>
    <row r="93" spans="1:17" s="9" customFormat="1" x14ac:dyDescent="0.2">
      <c r="B93" s="22" t="s">
        <v>55</v>
      </c>
      <c r="C93" s="84" t="s">
        <v>2</v>
      </c>
      <c r="D93" s="32" t="s">
        <v>114</v>
      </c>
      <c r="E93" s="53" t="s">
        <v>84</v>
      </c>
      <c r="F93" s="78" t="s">
        <v>2</v>
      </c>
      <c r="G93" s="34" t="s">
        <v>114</v>
      </c>
      <c r="H93" s="57" t="s">
        <v>84</v>
      </c>
      <c r="I93" s="74" t="s">
        <v>2</v>
      </c>
      <c r="J93" s="26" t="s">
        <v>114</v>
      </c>
      <c r="K93" s="58" t="s">
        <v>84</v>
      </c>
      <c r="L93" s="70" t="s">
        <v>2</v>
      </c>
      <c r="M93" s="28" t="s">
        <v>114</v>
      </c>
      <c r="N93" s="60" t="s">
        <v>84</v>
      </c>
      <c r="O93" s="63" t="s">
        <v>2</v>
      </c>
      <c r="P93" s="30" t="s">
        <v>114</v>
      </c>
      <c r="Q93" s="61" t="s">
        <v>84</v>
      </c>
    </row>
    <row r="94" spans="1:17" x14ac:dyDescent="0.2">
      <c r="B94" s="43">
        <v>120</v>
      </c>
      <c r="C94" s="85">
        <f>C74</f>
        <v>1736</v>
      </c>
      <c r="D94" s="33">
        <f>Assumptions!$D$4</f>
        <v>376</v>
      </c>
      <c r="E94" s="47">
        <f>C94/D94</f>
        <v>4.6170212765957448</v>
      </c>
      <c r="F94" s="82">
        <f>F74</f>
        <v>1860</v>
      </c>
      <c r="G94" s="36">
        <f>Assumptions!$D$5</f>
        <v>602</v>
      </c>
      <c r="H94" s="48">
        <f>F94/G94</f>
        <v>3.0897009966777409</v>
      </c>
      <c r="I94" s="76">
        <f>I74</f>
        <v>2232</v>
      </c>
      <c r="J94" s="37">
        <f>Assumptions!$D$6</f>
        <v>738</v>
      </c>
      <c r="K94" s="49">
        <f>I94/J94</f>
        <v>3.024390243902439</v>
      </c>
      <c r="L94" s="72">
        <f>L74</f>
        <v>2580</v>
      </c>
      <c r="M94" s="38">
        <f>Assumptions!$D$7</f>
        <v>914</v>
      </c>
      <c r="N94" s="50">
        <f>L94/M94</f>
        <v>2.8227571115973742</v>
      </c>
      <c r="O94" s="65">
        <f>O74</f>
        <v>2878</v>
      </c>
      <c r="P94" s="10">
        <f>Assumptions!$D$8</f>
        <v>914</v>
      </c>
      <c r="Q94" s="51">
        <f>O94/P94</f>
        <v>3.1487964989059081</v>
      </c>
    </row>
    <row r="95" spans="1:17" x14ac:dyDescent="0.2">
      <c r="B95" s="43">
        <v>60</v>
      </c>
      <c r="C95" s="88">
        <f>C70</f>
        <v>1081</v>
      </c>
      <c r="D95" s="33">
        <f>Assumptions!$D$4</f>
        <v>376</v>
      </c>
      <c r="E95" s="47">
        <f>C95/D95</f>
        <v>2.875</v>
      </c>
      <c r="F95" s="83">
        <f>F70</f>
        <v>1158</v>
      </c>
      <c r="G95" s="36">
        <f>Assumptions!$D$5</f>
        <v>602</v>
      </c>
      <c r="H95" s="48">
        <f>F95/G95</f>
        <v>1.9235880398671097</v>
      </c>
      <c r="I95" s="77">
        <f>I70</f>
        <v>1390</v>
      </c>
      <c r="J95" s="37">
        <f>Assumptions!$D$6</f>
        <v>738</v>
      </c>
      <c r="K95" s="49">
        <f>I95/J95</f>
        <v>1.8834688346883468</v>
      </c>
      <c r="L95" s="73">
        <f>L70</f>
        <v>1607</v>
      </c>
      <c r="M95" s="38">
        <f>Assumptions!$D$7</f>
        <v>914</v>
      </c>
      <c r="N95" s="50">
        <f>L95/M95</f>
        <v>1.7582056892778994</v>
      </c>
      <c r="O95" s="66">
        <f>O70</f>
        <v>1792</v>
      </c>
      <c r="P95" s="10">
        <f>Assumptions!$D$8</f>
        <v>914</v>
      </c>
      <c r="Q95" s="51">
        <f>O95/P95</f>
        <v>1.9606126914660831</v>
      </c>
    </row>
    <row r="96" spans="1:17" x14ac:dyDescent="0.2">
      <c r="B96" s="45" t="s">
        <v>96</v>
      </c>
      <c r="C96" s="85">
        <f>C94-C95</f>
        <v>655</v>
      </c>
      <c r="D96" s="33"/>
      <c r="E96" s="47"/>
      <c r="F96" s="82">
        <f>F94-F95</f>
        <v>702</v>
      </c>
      <c r="G96" s="36"/>
      <c r="H96" s="48"/>
      <c r="I96" s="76">
        <f>I94-I95</f>
        <v>842</v>
      </c>
      <c r="J96" s="37"/>
      <c r="K96" s="49"/>
      <c r="L96" s="72">
        <f>L94-L95</f>
        <v>973</v>
      </c>
      <c r="M96" s="38"/>
      <c r="N96" s="50"/>
      <c r="O96" s="65">
        <f>O94-O95</f>
        <v>1086</v>
      </c>
      <c r="P96" s="10"/>
      <c r="Q96" s="51"/>
    </row>
    <row r="97" spans="1:17" x14ac:dyDescent="0.2">
      <c r="B97" s="20"/>
      <c r="G97" s="12"/>
      <c r="J97" s="12"/>
      <c r="M97" s="12"/>
      <c r="P97" s="12"/>
    </row>
    <row r="98" spans="1:17" x14ac:dyDescent="0.2">
      <c r="A98" s="20" t="s">
        <v>94</v>
      </c>
      <c r="B98" s="20"/>
      <c r="G98" s="12"/>
      <c r="J98" s="12"/>
      <c r="M98" s="12"/>
      <c r="P98" s="12"/>
    </row>
    <row r="99" spans="1:17" s="9" customFormat="1" x14ac:dyDescent="0.2">
      <c r="B99" s="22"/>
      <c r="C99" s="375" t="s">
        <v>70</v>
      </c>
      <c r="D99" s="375"/>
      <c r="E99" s="376"/>
      <c r="F99" s="377" t="s">
        <v>71</v>
      </c>
      <c r="G99" s="377"/>
      <c r="H99" s="378"/>
      <c r="I99" s="379" t="s">
        <v>72</v>
      </c>
      <c r="J99" s="380"/>
      <c r="K99" s="381"/>
      <c r="L99" s="369" t="s">
        <v>73</v>
      </c>
      <c r="M99" s="370"/>
      <c r="N99" s="371"/>
      <c r="O99" s="372" t="s">
        <v>74</v>
      </c>
      <c r="P99" s="373"/>
      <c r="Q99" s="374"/>
    </row>
    <row r="100" spans="1:17" s="9" customFormat="1" x14ac:dyDescent="0.2">
      <c r="B100" s="22" t="s">
        <v>55</v>
      </c>
      <c r="C100" s="84" t="s">
        <v>2</v>
      </c>
      <c r="D100" s="32" t="s">
        <v>114</v>
      </c>
      <c r="E100" s="53" t="s">
        <v>84</v>
      </c>
      <c r="F100" s="78" t="s">
        <v>2</v>
      </c>
      <c r="G100" s="34" t="s">
        <v>114</v>
      </c>
      <c r="H100" s="57" t="s">
        <v>84</v>
      </c>
      <c r="I100" s="74" t="s">
        <v>2</v>
      </c>
      <c r="J100" s="26" t="s">
        <v>114</v>
      </c>
      <c r="K100" s="58" t="s">
        <v>84</v>
      </c>
      <c r="L100" s="70" t="s">
        <v>2</v>
      </c>
      <c r="M100" s="28" t="s">
        <v>114</v>
      </c>
      <c r="N100" s="60" t="s">
        <v>84</v>
      </c>
      <c r="O100" s="63" t="s">
        <v>2</v>
      </c>
      <c r="P100" s="30" t="s">
        <v>114</v>
      </c>
      <c r="Q100" s="61" t="s">
        <v>84</v>
      </c>
    </row>
    <row r="101" spans="1:17" x14ac:dyDescent="0.2">
      <c r="B101" s="43">
        <v>120</v>
      </c>
      <c r="C101" s="85">
        <f>C74</f>
        <v>1736</v>
      </c>
      <c r="D101" s="33">
        <f>Assumptions!$D$4</f>
        <v>376</v>
      </c>
      <c r="E101" s="47">
        <f>C101/D101</f>
        <v>4.6170212765957448</v>
      </c>
      <c r="F101" s="82">
        <f>F74</f>
        <v>1860</v>
      </c>
      <c r="G101" s="36">
        <f>Assumptions!$D$5</f>
        <v>602</v>
      </c>
      <c r="H101" s="48">
        <f>F101/G101</f>
        <v>3.0897009966777409</v>
      </c>
      <c r="I101" s="76">
        <f>I74</f>
        <v>2232</v>
      </c>
      <c r="J101" s="37">
        <f>Assumptions!$D$6</f>
        <v>738</v>
      </c>
      <c r="K101" s="49">
        <f>I101/J101</f>
        <v>3.024390243902439</v>
      </c>
      <c r="L101" s="72">
        <f>L74</f>
        <v>2580</v>
      </c>
      <c r="M101" s="38">
        <f>Assumptions!$D$7</f>
        <v>914</v>
      </c>
      <c r="N101" s="50">
        <f>L101/M101</f>
        <v>2.8227571115973742</v>
      </c>
      <c r="O101" s="65">
        <f>O74</f>
        <v>2878</v>
      </c>
      <c r="P101" s="10">
        <f>Assumptions!$D$8</f>
        <v>914</v>
      </c>
      <c r="Q101" s="51">
        <f>O101/P101</f>
        <v>3.1487964989059081</v>
      </c>
    </row>
    <row r="102" spans="1:17" x14ac:dyDescent="0.2">
      <c r="B102" s="43">
        <v>80</v>
      </c>
      <c r="C102" s="88">
        <f>C71</f>
        <v>1442</v>
      </c>
      <c r="D102" s="33">
        <f>Assumptions!$D$4</f>
        <v>376</v>
      </c>
      <c r="E102" s="47">
        <f>C102/D102</f>
        <v>3.8351063829787235</v>
      </c>
      <c r="F102" s="83">
        <f>F71</f>
        <v>1545</v>
      </c>
      <c r="G102" s="36">
        <f>Assumptions!$D$5</f>
        <v>602</v>
      </c>
      <c r="H102" s="48">
        <f>F102/G102</f>
        <v>2.5664451827242525</v>
      </c>
      <c r="I102" s="77">
        <f>I71</f>
        <v>1854</v>
      </c>
      <c r="J102" s="37">
        <f>Assumptions!$D$6</f>
        <v>738</v>
      </c>
      <c r="K102" s="49">
        <f>I102/J102</f>
        <v>2.5121951219512195</v>
      </c>
      <c r="L102" s="73">
        <f>L71</f>
        <v>2143</v>
      </c>
      <c r="M102" s="38">
        <f>Assumptions!$D$7</f>
        <v>914</v>
      </c>
      <c r="N102" s="50">
        <f>L102/M102</f>
        <v>2.3446389496717726</v>
      </c>
      <c r="O102" s="66">
        <f>O71</f>
        <v>2390</v>
      </c>
      <c r="P102" s="10">
        <f>Assumptions!$D$8</f>
        <v>914</v>
      </c>
      <c r="Q102" s="51">
        <f>O102/P102</f>
        <v>2.6148796498905909</v>
      </c>
    </row>
    <row r="103" spans="1:17" x14ac:dyDescent="0.2">
      <c r="B103" s="45" t="s">
        <v>96</v>
      </c>
      <c r="C103" s="85">
        <f>C101-C102</f>
        <v>294</v>
      </c>
      <c r="D103" s="33"/>
      <c r="E103" s="47"/>
      <c r="F103" s="82">
        <f>F101-F102</f>
        <v>315</v>
      </c>
      <c r="G103" s="36"/>
      <c r="H103" s="48"/>
      <c r="I103" s="76">
        <f>I101-I102</f>
        <v>378</v>
      </c>
      <c r="J103" s="37"/>
      <c r="K103" s="49"/>
      <c r="L103" s="72">
        <f>L101-L102</f>
        <v>437</v>
      </c>
      <c r="M103" s="38"/>
      <c r="N103" s="50"/>
      <c r="O103" s="65">
        <f>O101-O102</f>
        <v>488</v>
      </c>
      <c r="P103" s="10"/>
      <c r="Q103" s="51"/>
    </row>
    <row r="104" spans="1:17" x14ac:dyDescent="0.2">
      <c r="B104" s="20"/>
      <c r="G104" s="12"/>
      <c r="J104" s="12"/>
      <c r="M104" s="12"/>
      <c r="P104" s="12"/>
    </row>
    <row r="105" spans="1:17" x14ac:dyDescent="0.2">
      <c r="A105" s="20" t="s">
        <v>95</v>
      </c>
      <c r="B105" s="20"/>
      <c r="G105" s="12"/>
      <c r="J105" s="12"/>
      <c r="M105" s="12"/>
      <c r="P105" s="12"/>
    </row>
    <row r="106" spans="1:17" s="9" customFormat="1" x14ac:dyDescent="0.2">
      <c r="B106" s="22"/>
      <c r="C106" s="375" t="s">
        <v>70</v>
      </c>
      <c r="D106" s="375"/>
      <c r="E106" s="376"/>
      <c r="F106" s="377" t="s">
        <v>71</v>
      </c>
      <c r="G106" s="377"/>
      <c r="H106" s="378"/>
      <c r="I106" s="379" t="s">
        <v>72</v>
      </c>
      <c r="J106" s="380"/>
      <c r="K106" s="381"/>
      <c r="L106" s="369" t="s">
        <v>73</v>
      </c>
      <c r="M106" s="370"/>
      <c r="N106" s="371"/>
      <c r="O106" s="372" t="s">
        <v>74</v>
      </c>
      <c r="P106" s="373"/>
      <c r="Q106" s="374"/>
    </row>
    <row r="107" spans="1:17" s="9" customFormat="1" x14ac:dyDescent="0.2">
      <c r="B107" s="22" t="s">
        <v>55</v>
      </c>
      <c r="C107" s="84" t="s">
        <v>2</v>
      </c>
      <c r="D107" s="32" t="s">
        <v>114</v>
      </c>
      <c r="E107" s="53" t="s">
        <v>84</v>
      </c>
      <c r="F107" s="78" t="s">
        <v>2</v>
      </c>
      <c r="G107" s="34" t="s">
        <v>114</v>
      </c>
      <c r="H107" s="57" t="s">
        <v>84</v>
      </c>
      <c r="I107" s="74" t="s">
        <v>2</v>
      </c>
      <c r="J107" s="26" t="s">
        <v>114</v>
      </c>
      <c r="K107" s="58" t="s">
        <v>84</v>
      </c>
      <c r="L107" s="70" t="s">
        <v>2</v>
      </c>
      <c r="M107" s="28" t="s">
        <v>114</v>
      </c>
      <c r="N107" s="60" t="s">
        <v>84</v>
      </c>
      <c r="O107" s="63" t="s">
        <v>2</v>
      </c>
      <c r="P107" s="30" t="s">
        <v>114</v>
      </c>
      <c r="Q107" s="61" t="s">
        <v>84</v>
      </c>
    </row>
    <row r="108" spans="1:17" x14ac:dyDescent="0.2">
      <c r="B108" s="43">
        <v>120</v>
      </c>
      <c r="C108" s="85">
        <f>+C74</f>
        <v>1736</v>
      </c>
      <c r="D108" s="33">
        <f>Assumptions!$D$4</f>
        <v>376</v>
      </c>
      <c r="E108" s="47">
        <f>C108/D108</f>
        <v>4.6170212765957448</v>
      </c>
      <c r="F108" s="82">
        <f>+F74</f>
        <v>1860</v>
      </c>
      <c r="G108" s="36">
        <f>Assumptions!$D$5</f>
        <v>602</v>
      </c>
      <c r="H108" s="48">
        <f>F108/G108</f>
        <v>3.0897009966777409</v>
      </c>
      <c r="I108" s="76">
        <f>+I74</f>
        <v>2232</v>
      </c>
      <c r="J108" s="37">
        <f>Assumptions!$D$6</f>
        <v>738</v>
      </c>
      <c r="K108" s="49">
        <f>I108/J108</f>
        <v>3.024390243902439</v>
      </c>
      <c r="L108" s="72">
        <f>+L74</f>
        <v>2580</v>
      </c>
      <c r="M108" s="38">
        <f>Assumptions!$D$7</f>
        <v>914</v>
      </c>
      <c r="N108" s="50">
        <f>L108/M108</f>
        <v>2.8227571115973742</v>
      </c>
      <c r="O108" s="65">
        <f>+O74</f>
        <v>2878</v>
      </c>
      <c r="P108" s="10">
        <f>Assumptions!$D$8</f>
        <v>914</v>
      </c>
      <c r="Q108" s="51">
        <f>O108/P108</f>
        <v>3.1487964989059081</v>
      </c>
    </row>
    <row r="109" spans="1:17" x14ac:dyDescent="0.2">
      <c r="B109" s="43">
        <v>100</v>
      </c>
      <c r="C109" s="88">
        <f>C72</f>
        <v>1447</v>
      </c>
      <c r="D109" s="33">
        <f>Assumptions!$D$4</f>
        <v>376</v>
      </c>
      <c r="E109" s="47">
        <f>C109/D109</f>
        <v>3.8484042553191489</v>
      </c>
      <c r="F109" s="83">
        <f>F72</f>
        <v>1550</v>
      </c>
      <c r="G109" s="36">
        <f>Assumptions!$D$5</f>
        <v>602</v>
      </c>
      <c r="H109" s="48">
        <f>F109/G109</f>
        <v>2.5747508305647839</v>
      </c>
      <c r="I109" s="77">
        <f>I72</f>
        <v>1860</v>
      </c>
      <c r="J109" s="37">
        <f>Assumptions!$D$6</f>
        <v>738</v>
      </c>
      <c r="K109" s="49">
        <f>I109/J109</f>
        <v>2.5203252032520327</v>
      </c>
      <c r="L109" s="73">
        <f>L72</f>
        <v>2150</v>
      </c>
      <c r="M109" s="38">
        <f>Assumptions!$D$7</f>
        <v>914</v>
      </c>
      <c r="N109" s="50">
        <f>L109/M109</f>
        <v>2.3522975929978118</v>
      </c>
      <c r="O109" s="66">
        <f>O72</f>
        <v>2398</v>
      </c>
      <c r="P109" s="10">
        <f>Assumptions!$D$8</f>
        <v>914</v>
      </c>
      <c r="Q109" s="51">
        <f>O109/P109</f>
        <v>2.62363238512035</v>
      </c>
    </row>
    <row r="110" spans="1:17" x14ac:dyDescent="0.2">
      <c r="B110" s="45" t="s">
        <v>96</v>
      </c>
      <c r="C110" s="85">
        <f>C108-C109</f>
        <v>289</v>
      </c>
      <c r="D110" s="33"/>
      <c r="E110" s="47"/>
      <c r="F110" s="82">
        <f>F108-F109</f>
        <v>310</v>
      </c>
      <c r="G110" s="36"/>
      <c r="H110" s="48"/>
      <c r="I110" s="76">
        <f>I108-I109</f>
        <v>372</v>
      </c>
      <c r="J110" s="37"/>
      <c r="K110" s="49"/>
      <c r="L110" s="72">
        <f>L108-L109</f>
        <v>430</v>
      </c>
      <c r="M110" s="38"/>
      <c r="N110" s="50"/>
      <c r="O110" s="65">
        <f>O108-O109</f>
        <v>480</v>
      </c>
      <c r="P110" s="10"/>
      <c r="Q110" s="51"/>
    </row>
    <row r="111" spans="1:17" x14ac:dyDescent="0.2">
      <c r="G111" s="12"/>
      <c r="J111" s="12"/>
      <c r="M111" s="12"/>
      <c r="P111" s="12"/>
    </row>
    <row r="112" spans="1:17" x14ac:dyDescent="0.2">
      <c r="C112" s="68"/>
      <c r="D112" s="3"/>
      <c r="G112" s="12"/>
      <c r="J112" s="21"/>
      <c r="M112" s="12"/>
      <c r="P112" s="12"/>
    </row>
    <row r="113" spans="1:17" s="9" customFormat="1" x14ac:dyDescent="0.2">
      <c r="A113" s="46" t="s">
        <v>97</v>
      </c>
      <c r="B113" s="1"/>
      <c r="C113" s="62"/>
      <c r="D113" s="1"/>
      <c r="E113" s="52"/>
      <c r="F113" s="67"/>
      <c r="G113" s="13"/>
      <c r="H113" s="55"/>
      <c r="I113" s="67"/>
      <c r="J113" s="13"/>
      <c r="K113" s="55"/>
      <c r="L113" s="67"/>
      <c r="M113" s="13"/>
      <c r="N113" s="55"/>
      <c r="O113" s="67"/>
      <c r="P113" s="13"/>
      <c r="Q113" s="55"/>
    </row>
    <row r="114" spans="1:17" s="9" customFormat="1" x14ac:dyDescent="0.2">
      <c r="A114" s="46"/>
      <c r="B114" s="1"/>
      <c r="C114" s="62"/>
      <c r="D114" s="1"/>
      <c r="E114" s="52"/>
      <c r="F114" s="67"/>
      <c r="G114" s="13"/>
      <c r="H114" s="55"/>
      <c r="I114" s="67"/>
      <c r="J114" s="13"/>
      <c r="K114" s="55"/>
      <c r="L114" s="67"/>
      <c r="M114" s="13"/>
      <c r="N114" s="55"/>
      <c r="O114" s="67"/>
      <c r="P114" s="13"/>
      <c r="Q114" s="55"/>
    </row>
    <row r="115" spans="1:17" s="9" customFormat="1" x14ac:dyDescent="0.2">
      <c r="A115" s="46" t="s">
        <v>98</v>
      </c>
      <c r="B115" s="1"/>
      <c r="C115" s="62"/>
      <c r="D115" s="1"/>
      <c r="E115" s="52"/>
      <c r="F115" s="67"/>
      <c r="G115" s="13"/>
      <c r="H115" s="55"/>
      <c r="I115" s="67"/>
      <c r="J115" s="13"/>
      <c r="K115" s="55"/>
      <c r="L115" s="67"/>
      <c r="M115" s="13"/>
      <c r="N115" s="55"/>
      <c r="O115" s="67"/>
      <c r="P115" s="13"/>
      <c r="Q115" s="55"/>
    </row>
    <row r="116" spans="1:17" s="9" customFormat="1" x14ac:dyDescent="0.2">
      <c r="B116" s="22"/>
      <c r="C116" s="375" t="s">
        <v>70</v>
      </c>
      <c r="D116" s="375"/>
      <c r="E116" s="376"/>
      <c r="F116" s="377" t="s">
        <v>71</v>
      </c>
      <c r="G116" s="377"/>
      <c r="H116" s="378"/>
      <c r="I116" s="379" t="s">
        <v>72</v>
      </c>
      <c r="J116" s="380"/>
      <c r="K116" s="381"/>
      <c r="L116" s="369" t="s">
        <v>73</v>
      </c>
      <c r="M116" s="370"/>
      <c r="N116" s="371"/>
      <c r="O116" s="372" t="s">
        <v>74</v>
      </c>
      <c r="P116" s="373"/>
      <c r="Q116" s="374"/>
    </row>
    <row r="117" spans="1:17" s="9" customFormat="1" x14ac:dyDescent="0.2">
      <c r="B117" s="22"/>
      <c r="C117" s="84" t="s">
        <v>99</v>
      </c>
      <c r="D117" s="32" t="s">
        <v>114</v>
      </c>
      <c r="E117" s="53" t="s">
        <v>100</v>
      </c>
      <c r="F117" s="78" t="s">
        <v>99</v>
      </c>
      <c r="G117" s="34" t="s">
        <v>114</v>
      </c>
      <c r="H117" s="57" t="s">
        <v>100</v>
      </c>
      <c r="I117" s="74" t="s">
        <v>99</v>
      </c>
      <c r="J117" s="26" t="s">
        <v>114</v>
      </c>
      <c r="K117" s="58" t="s">
        <v>100</v>
      </c>
      <c r="L117" s="70" t="s">
        <v>99</v>
      </c>
      <c r="M117" s="28" t="s">
        <v>114</v>
      </c>
      <c r="N117" s="60" t="s">
        <v>100</v>
      </c>
      <c r="O117" s="63" t="s">
        <v>99</v>
      </c>
      <c r="P117" s="30" t="s">
        <v>114</v>
      </c>
      <c r="Q117" s="61" t="s">
        <v>100</v>
      </c>
    </row>
    <row r="118" spans="1:17" x14ac:dyDescent="0.2">
      <c r="B118" s="23"/>
      <c r="C118" s="85">
        <f>E118*D118</f>
        <v>263200</v>
      </c>
      <c r="D118" s="33">
        <f>Assumptions!$D$4</f>
        <v>376</v>
      </c>
      <c r="E118" s="47">
        <f>Assumptions!D18</f>
        <v>700</v>
      </c>
      <c r="F118" s="82">
        <f>H118*G118</f>
        <v>376250</v>
      </c>
      <c r="G118" s="36">
        <f>Assumptions!$D$5</f>
        <v>602</v>
      </c>
      <c r="H118" s="48">
        <f>Assumptions!D19</f>
        <v>625</v>
      </c>
      <c r="I118" s="76">
        <f>K118*J118</f>
        <v>442800</v>
      </c>
      <c r="J118" s="37">
        <f>Assumptions!$D$6</f>
        <v>738</v>
      </c>
      <c r="K118" s="49">
        <f>Assumptions!D20</f>
        <v>600</v>
      </c>
      <c r="L118" s="72">
        <f>N118*M118</f>
        <v>411300</v>
      </c>
      <c r="M118" s="38">
        <f>Assumptions!$D$7</f>
        <v>914</v>
      </c>
      <c r="N118" s="50">
        <f>Assumptions!D21</f>
        <v>450</v>
      </c>
      <c r="O118" s="65">
        <f>Q118*P118</f>
        <v>411300</v>
      </c>
      <c r="P118" s="10">
        <f>Assumptions!$D$8</f>
        <v>914</v>
      </c>
      <c r="Q118" s="51">
        <f>Assumptions!D22</f>
        <v>450</v>
      </c>
    </row>
    <row r="119" spans="1:17" customFormat="1" x14ac:dyDescent="0.2">
      <c r="A119" s="4"/>
    </row>
    <row r="120" spans="1:17" customFormat="1" x14ac:dyDescent="0.2">
      <c r="A120" s="4"/>
    </row>
    <row r="121" spans="1:17" x14ac:dyDescent="0.2">
      <c r="A121" s="20" t="s">
        <v>102</v>
      </c>
      <c r="D121" s="3"/>
      <c r="G121" s="12"/>
      <c r="J121" s="12"/>
      <c r="M121" s="12"/>
      <c r="P121" s="12"/>
    </row>
    <row r="122" spans="1:17" s="9" customFormat="1" x14ac:dyDescent="0.2">
      <c r="B122" s="22"/>
      <c r="C122" s="383" t="s">
        <v>70</v>
      </c>
      <c r="D122" s="375"/>
      <c r="E122" s="376"/>
      <c r="F122" s="384" t="s">
        <v>71</v>
      </c>
      <c r="G122" s="377"/>
      <c r="H122" s="378"/>
      <c r="I122" s="379" t="s">
        <v>72</v>
      </c>
      <c r="J122" s="380"/>
      <c r="K122" s="381"/>
      <c r="L122" s="369" t="s">
        <v>73</v>
      </c>
      <c r="M122" s="370"/>
      <c r="N122" s="371"/>
      <c r="O122" s="372" t="s">
        <v>74</v>
      </c>
      <c r="P122" s="373"/>
      <c r="Q122" s="374"/>
    </row>
    <row r="123" spans="1:17" s="9" customFormat="1" x14ac:dyDescent="0.2">
      <c r="B123" s="22" t="s">
        <v>55</v>
      </c>
      <c r="C123" s="86" t="s">
        <v>101</v>
      </c>
      <c r="D123" s="32" t="s">
        <v>114</v>
      </c>
      <c r="E123" s="53" t="s">
        <v>88</v>
      </c>
      <c r="F123" s="80" t="s">
        <v>101</v>
      </c>
      <c r="G123" s="34" t="s">
        <v>114</v>
      </c>
      <c r="H123" s="57" t="s">
        <v>88</v>
      </c>
      <c r="I123" s="74" t="s">
        <v>101</v>
      </c>
      <c r="J123" s="26" t="s">
        <v>114</v>
      </c>
      <c r="K123" s="58" t="s">
        <v>88</v>
      </c>
      <c r="L123" s="70" t="s">
        <v>101</v>
      </c>
      <c r="M123" s="28" t="s">
        <v>114</v>
      </c>
      <c r="N123" s="60" t="s">
        <v>88</v>
      </c>
      <c r="O123" s="63" t="s">
        <v>101</v>
      </c>
      <c r="P123" s="30" t="s">
        <v>114</v>
      </c>
      <c r="Q123" s="61" t="s">
        <v>88</v>
      </c>
    </row>
    <row r="124" spans="1:17" x14ac:dyDescent="0.2">
      <c r="B124" s="23">
        <v>30</v>
      </c>
      <c r="C124" s="85">
        <f>C44</f>
        <v>6578.7053002953271</v>
      </c>
      <c r="D124" s="33">
        <f>Assumptions!$D$4</f>
        <v>376</v>
      </c>
      <c r="E124" s="47">
        <f t="shared" ref="E124:E131" si="41">C124/D124</f>
        <v>17.496556649721615</v>
      </c>
      <c r="F124" s="82">
        <f t="shared" ref="F124:F131" si="42">F44</f>
        <v>12992.942968083273</v>
      </c>
      <c r="G124" s="36">
        <f>Assumptions!$D$5</f>
        <v>602</v>
      </c>
      <c r="H124" s="48">
        <f t="shared" ref="H124:H131" si="43">F124/G124</f>
        <v>21.582961741002116</v>
      </c>
      <c r="I124" s="76">
        <f t="shared" ref="I124:I131" si="44">I44</f>
        <v>32071.188338939715</v>
      </c>
      <c r="J124" s="37">
        <f>Assumptions!$D$6</f>
        <v>738</v>
      </c>
      <c r="K124" s="49">
        <f t="shared" ref="K124:K131" si="45">I124/J124</f>
        <v>43.456894768210994</v>
      </c>
      <c r="L124" s="72">
        <f t="shared" ref="L124:L131" si="46">L44</f>
        <v>49833.692649737102</v>
      </c>
      <c r="M124" s="38">
        <f>Assumptions!$D$7</f>
        <v>914</v>
      </c>
      <c r="N124" s="50">
        <f t="shared" ref="N124:N131" si="47">L124/M124</f>
        <v>54.522639660543874</v>
      </c>
      <c r="O124" s="65">
        <f t="shared" ref="O124:O131" si="48">O44</f>
        <v>65129.182472923727</v>
      </c>
      <c r="P124" s="10">
        <f>Assumptions!$D$8</f>
        <v>914</v>
      </c>
      <c r="Q124" s="51">
        <f t="shared" ref="Q124:Q131" si="49">O124/P124</f>
        <v>71.257311239522679</v>
      </c>
    </row>
    <row r="125" spans="1:17" x14ac:dyDescent="0.2">
      <c r="B125" s="23">
        <v>50</v>
      </c>
      <c r="C125" s="85">
        <f t="shared" ref="C125:C131" si="50">C45</f>
        <v>65951.520635460649</v>
      </c>
      <c r="D125" s="33">
        <f>Assumptions!$D$4</f>
        <v>376</v>
      </c>
      <c r="E125" s="47">
        <f t="shared" si="41"/>
        <v>175.40298041345918</v>
      </c>
      <c r="F125" s="82">
        <f t="shared" si="42"/>
        <v>76477.449115933166</v>
      </c>
      <c r="G125" s="36">
        <f>Assumptions!$D$5</f>
        <v>602</v>
      </c>
      <c r="H125" s="48">
        <f t="shared" si="43"/>
        <v>127.03895201982253</v>
      </c>
      <c r="I125" s="76">
        <f t="shared" si="44"/>
        <v>108219.70218985813</v>
      </c>
      <c r="J125" s="37">
        <f>Assumptions!$D$6</f>
        <v>738</v>
      </c>
      <c r="K125" s="49">
        <f t="shared" si="45"/>
        <v>146.63916285888635</v>
      </c>
      <c r="L125" s="72">
        <f t="shared" si="46"/>
        <v>137988.34367369447</v>
      </c>
      <c r="M125" s="38">
        <f>Assumptions!$D$7</f>
        <v>914</v>
      </c>
      <c r="N125" s="50">
        <f t="shared" si="47"/>
        <v>150.97192962110992</v>
      </c>
      <c r="O125" s="65">
        <f t="shared" si="48"/>
        <v>163316.35907983148</v>
      </c>
      <c r="P125" s="10">
        <f>Assumptions!$D$8</f>
        <v>914</v>
      </c>
      <c r="Q125" s="51">
        <f t="shared" si="49"/>
        <v>178.68310621425763</v>
      </c>
    </row>
    <row r="126" spans="1:17" x14ac:dyDescent="0.2">
      <c r="B126" s="23">
        <v>60</v>
      </c>
      <c r="C126" s="85">
        <f t="shared" si="50"/>
        <v>95555.694486789624</v>
      </c>
      <c r="D126" s="33">
        <f>Assumptions!$D$4</f>
        <v>376</v>
      </c>
      <c r="E126" s="47">
        <f t="shared" si="41"/>
        <v>254.13748533720644</v>
      </c>
      <c r="F126" s="82">
        <f t="shared" si="42"/>
        <v>108219.70218985813</v>
      </c>
      <c r="G126" s="36">
        <f>Assumptions!$D$5</f>
        <v>602</v>
      </c>
      <c r="H126" s="48">
        <f t="shared" si="43"/>
        <v>179.76694715923279</v>
      </c>
      <c r="I126" s="76">
        <f t="shared" si="44"/>
        <v>146376.19293157101</v>
      </c>
      <c r="J126" s="37">
        <f>Assumptions!$D$6</f>
        <v>738</v>
      </c>
      <c r="K126" s="49">
        <f t="shared" si="45"/>
        <v>198.34172483952713</v>
      </c>
      <c r="L126" s="72">
        <f t="shared" si="46"/>
        <v>182065.66918567318</v>
      </c>
      <c r="M126" s="38">
        <f>Assumptions!$D$7</f>
        <v>914</v>
      </c>
      <c r="N126" s="50">
        <f t="shared" si="47"/>
        <v>199.19657460139297</v>
      </c>
      <c r="O126" s="65">
        <f t="shared" si="48"/>
        <v>212492.18119953905</v>
      </c>
      <c r="P126" s="10">
        <f>Assumptions!$D$8</f>
        <v>914</v>
      </c>
      <c r="Q126" s="51">
        <f t="shared" si="49"/>
        <v>232.48597505420028</v>
      </c>
    </row>
    <row r="127" spans="1:17" x14ac:dyDescent="0.2">
      <c r="B127" s="23">
        <v>80</v>
      </c>
      <c r="C127" s="85">
        <f t="shared" si="50"/>
        <v>154928.50982195494</v>
      </c>
      <c r="D127" s="33">
        <f>Assumptions!$D$4</f>
        <v>376</v>
      </c>
      <c r="E127" s="47">
        <f t="shared" si="41"/>
        <v>412.04390910094401</v>
      </c>
      <c r="F127" s="82">
        <f t="shared" si="42"/>
        <v>171868.67597021541</v>
      </c>
      <c r="G127" s="36">
        <f>Assumptions!$D$5</f>
        <v>602</v>
      </c>
      <c r="H127" s="48">
        <f t="shared" si="43"/>
        <v>285.49613948540764</v>
      </c>
      <c r="I127" s="76">
        <f t="shared" si="44"/>
        <v>222689.17441499684</v>
      </c>
      <c r="J127" s="37">
        <f>Assumptions!$D$6</f>
        <v>738</v>
      </c>
      <c r="K127" s="49">
        <f t="shared" si="45"/>
        <v>301.74684880080872</v>
      </c>
      <c r="L127" s="72">
        <f t="shared" si="46"/>
        <v>270220.32020963053</v>
      </c>
      <c r="M127" s="38">
        <f>Assumptions!$D$7</f>
        <v>914</v>
      </c>
      <c r="N127" s="50">
        <f t="shared" si="47"/>
        <v>295.645864561959</v>
      </c>
      <c r="O127" s="65">
        <f t="shared" si="48"/>
        <v>310843.82543895417</v>
      </c>
      <c r="P127" s="10">
        <f>Assumptions!$D$8</f>
        <v>914</v>
      </c>
      <c r="Q127" s="51">
        <f t="shared" si="49"/>
        <v>340.09171273408555</v>
      </c>
    </row>
    <row r="128" spans="1:17" x14ac:dyDescent="0.2">
      <c r="B128" s="23">
        <v>100</v>
      </c>
      <c r="C128" s="85">
        <f t="shared" si="50"/>
        <v>155750.84798449188</v>
      </c>
      <c r="D128" s="33">
        <f>Assumptions!$D$4</f>
        <v>376</v>
      </c>
      <c r="E128" s="47">
        <f t="shared" si="41"/>
        <v>414.23097868215922</v>
      </c>
      <c r="F128" s="82">
        <f t="shared" si="42"/>
        <v>172691.01413275232</v>
      </c>
      <c r="G128" s="36">
        <f>Assumptions!$D$5</f>
        <v>602</v>
      </c>
      <c r="H128" s="48">
        <f t="shared" si="43"/>
        <v>286.86214972217994</v>
      </c>
      <c r="I128" s="76">
        <f t="shared" si="44"/>
        <v>223675.98021004113</v>
      </c>
      <c r="J128" s="37">
        <f>Assumptions!$D$6</f>
        <v>738</v>
      </c>
      <c r="K128" s="49">
        <f t="shared" si="45"/>
        <v>303.08398402444595</v>
      </c>
      <c r="L128" s="72">
        <f t="shared" si="46"/>
        <v>271371.5936371822</v>
      </c>
      <c r="M128" s="38">
        <f>Assumptions!$D$7</f>
        <v>914</v>
      </c>
      <c r="N128" s="50">
        <f t="shared" si="47"/>
        <v>296.90546349801116</v>
      </c>
      <c r="O128" s="65">
        <f t="shared" si="48"/>
        <v>312159.56649901328</v>
      </c>
      <c r="P128" s="10">
        <f>Assumptions!$D$8</f>
        <v>914</v>
      </c>
      <c r="Q128" s="51">
        <f t="shared" si="49"/>
        <v>341.53125437528803</v>
      </c>
    </row>
    <row r="129" spans="1:17" x14ac:dyDescent="0.2">
      <c r="B129" s="23">
        <v>110</v>
      </c>
      <c r="C129" s="85">
        <f t="shared" si="50"/>
        <v>179516.42088180874</v>
      </c>
      <c r="D129" s="33">
        <f>Assumptions!$D$4</f>
        <v>376</v>
      </c>
      <c r="E129" s="47">
        <f t="shared" si="41"/>
        <v>477.43728957927857</v>
      </c>
      <c r="F129" s="82">
        <f t="shared" si="42"/>
        <v>198183.49717139671</v>
      </c>
      <c r="G129" s="36">
        <f>Assumptions!$D$5</f>
        <v>602</v>
      </c>
      <c r="H129" s="48">
        <f t="shared" si="43"/>
        <v>329.2084670621208</v>
      </c>
      <c r="I129" s="76">
        <f t="shared" si="44"/>
        <v>254266.95985641441</v>
      </c>
      <c r="J129" s="37">
        <f>Assumptions!$D$6</f>
        <v>738</v>
      </c>
      <c r="K129" s="49">
        <f t="shared" si="45"/>
        <v>344.53517595720109</v>
      </c>
      <c r="L129" s="72">
        <f t="shared" si="46"/>
        <v>306732.13462626963</v>
      </c>
      <c r="M129" s="38">
        <f>Assumptions!$D$7</f>
        <v>914</v>
      </c>
      <c r="N129" s="50">
        <f t="shared" si="47"/>
        <v>335.59314510532784</v>
      </c>
      <c r="O129" s="65">
        <f t="shared" si="48"/>
        <v>351631.79830078525</v>
      </c>
      <c r="P129" s="10">
        <f>Assumptions!$D$8</f>
        <v>914</v>
      </c>
      <c r="Q129" s="51">
        <f t="shared" si="49"/>
        <v>384.71750361136242</v>
      </c>
    </row>
    <row r="130" spans="1:17" x14ac:dyDescent="0.2">
      <c r="B130" s="23">
        <v>120</v>
      </c>
      <c r="C130" s="85">
        <f t="shared" si="50"/>
        <v>203281.99377912557</v>
      </c>
      <c r="D130" s="33">
        <f>Assumptions!$D$4</f>
        <v>376</v>
      </c>
      <c r="E130" s="47">
        <f t="shared" si="41"/>
        <v>540.64360047639775</v>
      </c>
      <c r="F130" s="82">
        <f t="shared" si="42"/>
        <v>223675.98021004113</v>
      </c>
      <c r="G130" s="36">
        <f>Assumptions!$D$5</f>
        <v>602</v>
      </c>
      <c r="H130" s="48">
        <f t="shared" si="43"/>
        <v>371.55478440206167</v>
      </c>
      <c r="I130" s="76">
        <f t="shared" si="44"/>
        <v>284857.93950278772</v>
      </c>
      <c r="J130" s="37">
        <f>Assumptions!$D$6</f>
        <v>738</v>
      </c>
      <c r="K130" s="49">
        <f t="shared" si="45"/>
        <v>385.98636788995628</v>
      </c>
      <c r="L130" s="72">
        <f t="shared" si="46"/>
        <v>342092.675615357</v>
      </c>
      <c r="M130" s="38">
        <f>Assumptions!$D$7</f>
        <v>914</v>
      </c>
      <c r="N130" s="50">
        <f t="shared" si="47"/>
        <v>374.2808267126444</v>
      </c>
      <c r="O130" s="65">
        <f t="shared" si="48"/>
        <v>391104.03010255715</v>
      </c>
      <c r="P130" s="10">
        <f>Assumptions!$D$8</f>
        <v>914</v>
      </c>
      <c r="Q130" s="51">
        <f t="shared" si="49"/>
        <v>427.90375284743669</v>
      </c>
    </row>
    <row r="131" spans="1:17" x14ac:dyDescent="0.2">
      <c r="B131" s="23">
        <v>140</v>
      </c>
      <c r="C131" s="85">
        <f t="shared" si="50"/>
        <v>250977.60720626672</v>
      </c>
      <c r="D131" s="33">
        <f>Assumptions!$D$4</f>
        <v>376</v>
      </c>
      <c r="E131" s="47">
        <f t="shared" si="41"/>
        <v>667.4936361868796</v>
      </c>
      <c r="F131" s="82">
        <f t="shared" si="42"/>
        <v>274660.94628732989</v>
      </c>
      <c r="G131" s="36">
        <f>Assumptions!$D$5</f>
        <v>602</v>
      </c>
      <c r="H131" s="48">
        <f t="shared" si="43"/>
        <v>456.24741908194335</v>
      </c>
      <c r="I131" s="76">
        <f t="shared" si="44"/>
        <v>346204.3664280416</v>
      </c>
      <c r="J131" s="37">
        <f>Assumptions!$D$6</f>
        <v>738</v>
      </c>
      <c r="K131" s="49">
        <f t="shared" si="45"/>
        <v>469.11160762607261</v>
      </c>
      <c r="L131" s="72">
        <f t="shared" si="46"/>
        <v>412813.7575935318</v>
      </c>
      <c r="M131" s="38">
        <f>Assumptions!$D$7</f>
        <v>914</v>
      </c>
      <c r="N131" s="50">
        <f t="shared" si="47"/>
        <v>451.65618992727769</v>
      </c>
      <c r="O131" s="65">
        <f t="shared" si="48"/>
        <v>469884.0260735937</v>
      </c>
      <c r="P131" s="10">
        <f>Assumptions!$D$8</f>
        <v>914</v>
      </c>
      <c r="Q131" s="51">
        <f t="shared" si="49"/>
        <v>514.09630861443509</v>
      </c>
    </row>
    <row r="132" spans="1:17" customFormat="1" x14ac:dyDescent="0.2"/>
    <row r="133" spans="1:17" x14ac:dyDescent="0.2">
      <c r="D133" s="3"/>
      <c r="G133" s="12"/>
      <c r="J133" s="12"/>
      <c r="M133" s="12"/>
      <c r="P133" s="12"/>
    </row>
    <row r="134" spans="1:17" x14ac:dyDescent="0.2">
      <c r="A134" s="20" t="s">
        <v>103</v>
      </c>
      <c r="G134" s="12"/>
      <c r="J134" s="12"/>
      <c r="M134" s="12"/>
      <c r="P134" s="12"/>
    </row>
    <row r="135" spans="1:17" x14ac:dyDescent="0.2">
      <c r="G135" s="12"/>
      <c r="J135" s="12"/>
      <c r="M135" s="12"/>
      <c r="P135" s="12"/>
    </row>
    <row r="136" spans="1:17" x14ac:dyDescent="0.2">
      <c r="A136" s="20" t="s">
        <v>105</v>
      </c>
      <c r="G136" s="12"/>
      <c r="J136" s="12"/>
      <c r="M136" s="12"/>
      <c r="P136" s="12"/>
    </row>
    <row r="137" spans="1:17" s="9" customFormat="1" x14ac:dyDescent="0.2">
      <c r="B137" s="22"/>
      <c r="C137" s="375" t="s">
        <v>70</v>
      </c>
      <c r="D137" s="375"/>
      <c r="E137" s="376"/>
      <c r="F137" s="377" t="s">
        <v>71</v>
      </c>
      <c r="G137" s="377"/>
      <c r="H137" s="378"/>
      <c r="I137" s="379" t="s">
        <v>72</v>
      </c>
      <c r="J137" s="380"/>
      <c r="K137" s="381"/>
      <c r="L137" s="369" t="s">
        <v>73</v>
      </c>
      <c r="M137" s="370"/>
      <c r="N137" s="371"/>
      <c r="O137" s="372" t="s">
        <v>74</v>
      </c>
      <c r="P137" s="373"/>
      <c r="Q137" s="374"/>
    </row>
    <row r="138" spans="1:17" s="9" customFormat="1" x14ac:dyDescent="0.2">
      <c r="B138" s="22" t="s">
        <v>55</v>
      </c>
      <c r="C138" s="84" t="s">
        <v>87</v>
      </c>
      <c r="D138" s="32" t="s">
        <v>114</v>
      </c>
      <c r="E138" s="53" t="s">
        <v>88</v>
      </c>
      <c r="F138" s="78" t="s">
        <v>87</v>
      </c>
      <c r="G138" s="34" t="s">
        <v>114</v>
      </c>
      <c r="H138" s="57" t="s">
        <v>88</v>
      </c>
      <c r="I138" s="74" t="s">
        <v>87</v>
      </c>
      <c r="J138" s="26" t="s">
        <v>114</v>
      </c>
      <c r="K138" s="58" t="s">
        <v>88</v>
      </c>
      <c r="L138" s="70" t="s">
        <v>87</v>
      </c>
      <c r="M138" s="28" t="s">
        <v>114</v>
      </c>
      <c r="N138" s="60" t="s">
        <v>88</v>
      </c>
      <c r="O138" s="63" t="s">
        <v>87</v>
      </c>
      <c r="P138" s="30" t="s">
        <v>114</v>
      </c>
      <c r="Q138" s="61" t="s">
        <v>88</v>
      </c>
    </row>
    <row r="139" spans="1:17" x14ac:dyDescent="0.2">
      <c r="A139" s="20" t="s">
        <v>64</v>
      </c>
      <c r="B139" s="23" t="s">
        <v>53</v>
      </c>
      <c r="C139" s="85">
        <f>C118</f>
        <v>263200</v>
      </c>
      <c r="D139" s="33">
        <f>Assumptions!$D$4</f>
        <v>376</v>
      </c>
      <c r="E139" s="47">
        <f>C139/D139</f>
        <v>700</v>
      </c>
      <c r="F139" s="82">
        <f>F118</f>
        <v>376250</v>
      </c>
      <c r="G139" s="36">
        <f>Assumptions!$D$5</f>
        <v>602</v>
      </c>
      <c r="H139" s="48">
        <f>F139/G139</f>
        <v>625</v>
      </c>
      <c r="I139" s="76">
        <f>I118</f>
        <v>442800</v>
      </c>
      <c r="J139" s="37">
        <f>Assumptions!$D$6</f>
        <v>738</v>
      </c>
      <c r="K139" s="49">
        <f>I139/J139</f>
        <v>600</v>
      </c>
      <c r="L139" s="72">
        <f>L118</f>
        <v>411300</v>
      </c>
      <c r="M139" s="38">
        <f>Assumptions!$D$7</f>
        <v>914</v>
      </c>
      <c r="N139" s="50">
        <f>L139/M139</f>
        <v>450</v>
      </c>
      <c r="O139" s="65">
        <f>O118</f>
        <v>411300</v>
      </c>
      <c r="P139" s="10">
        <f>Assumptions!$D$8</f>
        <v>914</v>
      </c>
      <c r="Q139" s="51">
        <f>O139/P139</f>
        <v>450</v>
      </c>
    </row>
    <row r="140" spans="1:17" x14ac:dyDescent="0.2">
      <c r="A140" s="20" t="s">
        <v>60</v>
      </c>
      <c r="B140" s="23">
        <v>30</v>
      </c>
      <c r="C140" s="88">
        <f>C124</f>
        <v>6578.7053002953271</v>
      </c>
      <c r="D140" s="33">
        <f>Assumptions!$D$4</f>
        <v>376</v>
      </c>
      <c r="E140" s="90">
        <f>C140/D140</f>
        <v>17.496556649721615</v>
      </c>
      <c r="F140" s="83">
        <f>F124</f>
        <v>12992.942968083273</v>
      </c>
      <c r="G140" s="36">
        <f>Assumptions!$D$5</f>
        <v>602</v>
      </c>
      <c r="H140" s="91">
        <f>F140/G140</f>
        <v>21.582961741002116</v>
      </c>
      <c r="I140" s="77">
        <f>I124</f>
        <v>32071.188338939715</v>
      </c>
      <c r="J140" s="37">
        <f>Assumptions!$D$6</f>
        <v>738</v>
      </c>
      <c r="K140" s="92">
        <f>I140/J140</f>
        <v>43.456894768210994</v>
      </c>
      <c r="L140" s="73">
        <f>L124</f>
        <v>49833.692649737102</v>
      </c>
      <c r="M140" s="38">
        <f>Assumptions!$D$7</f>
        <v>914</v>
      </c>
      <c r="N140" s="93">
        <f>L140/M140</f>
        <v>54.522639660543874</v>
      </c>
      <c r="O140" s="66">
        <f>O124</f>
        <v>65129.182472923727</v>
      </c>
      <c r="P140" s="10">
        <f>Assumptions!$D$8</f>
        <v>914</v>
      </c>
      <c r="Q140" s="94">
        <f>O140/P140</f>
        <v>71.257311239522679</v>
      </c>
    </row>
    <row r="141" spans="1:17" x14ac:dyDescent="0.2">
      <c r="A141" s="20" t="s">
        <v>108</v>
      </c>
      <c r="B141" s="23"/>
      <c r="C141" s="85">
        <f>C139-C140</f>
        <v>256621.29469970468</v>
      </c>
      <c r="D141" s="33">
        <f>Assumptions!$D$4</f>
        <v>376</v>
      </c>
      <c r="E141" s="47">
        <f>C141/D141</f>
        <v>682.50344335027842</v>
      </c>
      <c r="F141" s="82">
        <f>F139-F140</f>
        <v>363257.05703191675</v>
      </c>
      <c r="G141" s="36">
        <f>Assumptions!$D$5</f>
        <v>602</v>
      </c>
      <c r="H141" s="48">
        <f>F141/G141</f>
        <v>603.41703825899788</v>
      </c>
      <c r="I141" s="76">
        <f>I139-I140</f>
        <v>410728.81166106026</v>
      </c>
      <c r="J141" s="37">
        <f>Assumptions!$D$6</f>
        <v>738</v>
      </c>
      <c r="K141" s="49">
        <f>I141/J141</f>
        <v>556.54310523178901</v>
      </c>
      <c r="L141" s="72">
        <f>L139-L140</f>
        <v>361466.30735026288</v>
      </c>
      <c r="M141" s="38">
        <f>Assumptions!$D$7</f>
        <v>914</v>
      </c>
      <c r="N141" s="50">
        <f>L141/M141</f>
        <v>395.47736033945608</v>
      </c>
      <c r="O141" s="65">
        <f>O139-O140</f>
        <v>346170.81752707629</v>
      </c>
      <c r="P141" s="10">
        <f>Assumptions!$D$8</f>
        <v>914</v>
      </c>
      <c r="Q141" s="51">
        <f>O141/P141</f>
        <v>378.74268876047734</v>
      </c>
    </row>
    <row r="142" spans="1:17" s="95" customFormat="1" x14ac:dyDescent="0.2">
      <c r="A142" s="95" t="s">
        <v>62</v>
      </c>
      <c r="B142" s="96"/>
      <c r="C142" s="97">
        <f>Assumptions!D27</f>
        <v>157288.32000000001</v>
      </c>
      <c r="D142" s="98">
        <f>Assumptions!$D$4</f>
        <v>376</v>
      </c>
      <c r="E142" s="99">
        <f>C142/D142</f>
        <v>418.32</v>
      </c>
      <c r="F142" s="100">
        <f>Assumptions!D28</f>
        <v>224847</v>
      </c>
      <c r="G142" s="101">
        <f>Assumptions!$D$5</f>
        <v>602</v>
      </c>
      <c r="H142" s="102">
        <f>F142/G142</f>
        <v>373.5</v>
      </c>
      <c r="I142" s="103">
        <f>Assumptions!D29</f>
        <v>264617.27999999997</v>
      </c>
      <c r="J142" s="104">
        <f>Assumptions!$D$6</f>
        <v>738</v>
      </c>
      <c r="K142" s="105">
        <f>I142/J142</f>
        <v>358.55999999999995</v>
      </c>
      <c r="L142" s="106">
        <f>Assumptions!D30</f>
        <v>245792.88</v>
      </c>
      <c r="M142" s="107">
        <f>Assumptions!$D$7</f>
        <v>914</v>
      </c>
      <c r="N142" s="108">
        <f>L142/M142</f>
        <v>268.92</v>
      </c>
      <c r="O142" s="109">
        <f>Assumptions!D31</f>
        <v>245792.88</v>
      </c>
      <c r="P142" s="110">
        <f>Assumptions!$D$8</f>
        <v>914</v>
      </c>
      <c r="Q142" s="111">
        <f>O142/P142</f>
        <v>268.92</v>
      </c>
    </row>
    <row r="143" spans="1:17" s="95" customFormat="1" x14ac:dyDescent="0.2">
      <c r="A143" s="95" t="s">
        <v>63</v>
      </c>
      <c r="B143" s="96"/>
      <c r="C143" s="97">
        <f>C141-C142</f>
        <v>99332.974699704675</v>
      </c>
      <c r="D143" s="98">
        <f>Assumptions!$D$4</f>
        <v>376</v>
      </c>
      <c r="E143" s="99">
        <f>C143/D143</f>
        <v>264.18344335027837</v>
      </c>
      <c r="F143" s="100">
        <f>F141-F142</f>
        <v>138410.05703191675</v>
      </c>
      <c r="G143" s="101">
        <f>Assumptions!$D$5</f>
        <v>602</v>
      </c>
      <c r="H143" s="102">
        <f>F143/G143</f>
        <v>229.91703825899791</v>
      </c>
      <c r="I143" s="103">
        <f>I141-I142</f>
        <v>146111.53166106029</v>
      </c>
      <c r="J143" s="104">
        <f>Assumptions!$D$6</f>
        <v>738</v>
      </c>
      <c r="K143" s="105">
        <f>I143/J143</f>
        <v>197.98310523178901</v>
      </c>
      <c r="L143" s="106">
        <f>L141-L142</f>
        <v>115673.42735026288</v>
      </c>
      <c r="M143" s="107">
        <f>Assumptions!$D$7</f>
        <v>914</v>
      </c>
      <c r="N143" s="108">
        <f>L143/M143</f>
        <v>126.55736033945611</v>
      </c>
      <c r="O143" s="109">
        <f>O141-O142</f>
        <v>100377.93752707628</v>
      </c>
      <c r="P143" s="110">
        <f>Assumptions!$D$8</f>
        <v>914</v>
      </c>
      <c r="Q143" s="111">
        <f>O143/P143</f>
        <v>109.82268876047733</v>
      </c>
    </row>
    <row r="144" spans="1:17" x14ac:dyDescent="0.2">
      <c r="D144" s="2"/>
      <c r="G144" s="12"/>
      <c r="J144" s="12"/>
      <c r="M144" s="12"/>
      <c r="P144" s="12"/>
    </row>
    <row r="145" spans="1:18" x14ac:dyDescent="0.2">
      <c r="A145" s="20" t="s">
        <v>106</v>
      </c>
      <c r="G145" s="12"/>
      <c r="J145" s="12"/>
      <c r="M145" s="12"/>
      <c r="P145" s="12"/>
      <c r="R145" s="95"/>
    </row>
    <row r="146" spans="1:18" s="9" customFormat="1" x14ac:dyDescent="0.2">
      <c r="B146" s="22"/>
      <c r="C146" s="375" t="s">
        <v>70</v>
      </c>
      <c r="D146" s="375"/>
      <c r="E146" s="376"/>
      <c r="F146" s="377" t="s">
        <v>71</v>
      </c>
      <c r="G146" s="377"/>
      <c r="H146" s="378"/>
      <c r="I146" s="379" t="s">
        <v>72</v>
      </c>
      <c r="J146" s="380"/>
      <c r="K146" s="381"/>
      <c r="L146" s="369" t="s">
        <v>73</v>
      </c>
      <c r="M146" s="370"/>
      <c r="N146" s="371"/>
      <c r="O146" s="372" t="s">
        <v>74</v>
      </c>
      <c r="P146" s="373"/>
      <c r="Q146" s="374"/>
    </row>
    <row r="147" spans="1:18" s="9" customFormat="1" x14ac:dyDescent="0.2">
      <c r="B147" s="22" t="s">
        <v>55</v>
      </c>
      <c r="C147" s="84" t="s">
        <v>2</v>
      </c>
      <c r="D147" s="32" t="s">
        <v>114</v>
      </c>
      <c r="E147" s="53" t="s">
        <v>84</v>
      </c>
      <c r="F147" s="78" t="s">
        <v>2</v>
      </c>
      <c r="G147" s="34" t="s">
        <v>114</v>
      </c>
      <c r="H147" s="57" t="s">
        <v>84</v>
      </c>
      <c r="I147" s="74" t="s">
        <v>87</v>
      </c>
      <c r="J147" s="26" t="s">
        <v>114</v>
      </c>
      <c r="K147" s="58" t="s">
        <v>88</v>
      </c>
      <c r="L147" s="70" t="s">
        <v>87</v>
      </c>
      <c r="M147" s="28" t="s">
        <v>114</v>
      </c>
      <c r="N147" s="60" t="s">
        <v>88</v>
      </c>
      <c r="O147" s="63" t="s">
        <v>87</v>
      </c>
      <c r="P147" s="30" t="s">
        <v>114</v>
      </c>
      <c r="Q147" s="61" t="s">
        <v>88</v>
      </c>
    </row>
    <row r="148" spans="1:18" x14ac:dyDescent="0.2">
      <c r="A148" s="20" t="s">
        <v>64</v>
      </c>
      <c r="B148" s="23" t="s">
        <v>53</v>
      </c>
      <c r="C148" s="85">
        <f>C118</f>
        <v>263200</v>
      </c>
      <c r="D148" s="33">
        <f>Assumptions!$D$4</f>
        <v>376</v>
      </c>
      <c r="E148" s="47">
        <f>C148/D148</f>
        <v>700</v>
      </c>
      <c r="F148" s="82">
        <f>F118</f>
        <v>376250</v>
      </c>
      <c r="G148" s="36">
        <f>Assumptions!$D$5</f>
        <v>602</v>
      </c>
      <c r="H148" s="48">
        <f>F148/G148</f>
        <v>625</v>
      </c>
      <c r="I148" s="76">
        <f>I118</f>
        <v>442800</v>
      </c>
      <c r="J148" s="37">
        <f>Assumptions!$D$6</f>
        <v>738</v>
      </c>
      <c r="K148" s="49">
        <f>I148/J148</f>
        <v>600</v>
      </c>
      <c r="L148" s="72">
        <f>L118</f>
        <v>411300</v>
      </c>
      <c r="M148" s="38">
        <f>Assumptions!$D$7</f>
        <v>914</v>
      </c>
      <c r="N148" s="50">
        <f>L148/M148</f>
        <v>450</v>
      </c>
      <c r="O148" s="65">
        <f>O118</f>
        <v>411300</v>
      </c>
      <c r="P148" s="10">
        <f>Assumptions!$D$8</f>
        <v>914</v>
      </c>
      <c r="Q148" s="51">
        <f>O148/P148</f>
        <v>450</v>
      </c>
    </row>
    <row r="149" spans="1:18" x14ac:dyDescent="0.2">
      <c r="A149" s="20" t="s">
        <v>60</v>
      </c>
      <c r="B149" s="23">
        <v>50</v>
      </c>
      <c r="C149" s="88">
        <f>C125</f>
        <v>65951.520635460649</v>
      </c>
      <c r="D149" s="33">
        <f>Assumptions!$D$4</f>
        <v>376</v>
      </c>
      <c r="E149" s="90">
        <f>C149/D149</f>
        <v>175.40298041345918</v>
      </c>
      <c r="F149" s="83">
        <f>F125</f>
        <v>76477.449115933166</v>
      </c>
      <c r="G149" s="36">
        <f>Assumptions!$D$5</f>
        <v>602</v>
      </c>
      <c r="H149" s="91">
        <f>F149/G149</f>
        <v>127.03895201982253</v>
      </c>
      <c r="I149" s="77">
        <f>I125</f>
        <v>108219.70218985813</v>
      </c>
      <c r="J149" s="37">
        <f>Assumptions!$D$6</f>
        <v>738</v>
      </c>
      <c r="K149" s="92">
        <f>I149/J149</f>
        <v>146.63916285888635</v>
      </c>
      <c r="L149" s="73">
        <f>L125</f>
        <v>137988.34367369447</v>
      </c>
      <c r="M149" s="38">
        <f>Assumptions!$D$7</f>
        <v>914</v>
      </c>
      <c r="N149" s="93">
        <f>L149/M149</f>
        <v>150.97192962110992</v>
      </c>
      <c r="O149" s="66">
        <f>O125</f>
        <v>163316.35907983148</v>
      </c>
      <c r="P149" s="10">
        <f>Assumptions!$D$8</f>
        <v>914</v>
      </c>
      <c r="Q149" s="94">
        <f>O149/P149</f>
        <v>178.68310621425763</v>
      </c>
    </row>
    <row r="150" spans="1:18" x14ac:dyDescent="0.2">
      <c r="A150" s="20" t="s">
        <v>108</v>
      </c>
      <c r="B150" s="23"/>
      <c r="C150" s="85">
        <f>C148-C149</f>
        <v>197248.47936453935</v>
      </c>
      <c r="D150" s="33">
        <f>Assumptions!$D$4</f>
        <v>376</v>
      </c>
      <c r="E150" s="47">
        <f>C150/D150</f>
        <v>524.5970195865408</v>
      </c>
      <c r="F150" s="82">
        <f>F148-F149</f>
        <v>299772.55088406685</v>
      </c>
      <c r="G150" s="36">
        <f>Assumptions!$D$5</f>
        <v>602</v>
      </c>
      <c r="H150" s="48">
        <f>F150/G150</f>
        <v>497.96104798017751</v>
      </c>
      <c r="I150" s="76">
        <f>I148-I149</f>
        <v>334580.29781014187</v>
      </c>
      <c r="J150" s="37">
        <f>Assumptions!$D$6</f>
        <v>738</v>
      </c>
      <c r="K150" s="49">
        <f>I150/J150</f>
        <v>453.36083714111362</v>
      </c>
      <c r="L150" s="72">
        <f>L148-L149</f>
        <v>273311.65632630553</v>
      </c>
      <c r="M150" s="38">
        <f>Assumptions!$D$7</f>
        <v>914</v>
      </c>
      <c r="N150" s="50">
        <f>L150/M150</f>
        <v>299.02807037889005</v>
      </c>
      <c r="O150" s="65">
        <f>O148-O149</f>
        <v>247983.64092016852</v>
      </c>
      <c r="P150" s="10">
        <f>Assumptions!$D$8</f>
        <v>914</v>
      </c>
      <c r="Q150" s="51">
        <f>O150/P150</f>
        <v>271.31689378574237</v>
      </c>
    </row>
    <row r="151" spans="1:18" s="95" customFormat="1" x14ac:dyDescent="0.2">
      <c r="A151" s="95" t="s">
        <v>62</v>
      </c>
      <c r="B151" s="96"/>
      <c r="C151" s="97">
        <f>Assumptions!D27</f>
        <v>157288.32000000001</v>
      </c>
      <c r="D151" s="98">
        <f>Assumptions!$D$4</f>
        <v>376</v>
      </c>
      <c r="E151" s="99">
        <f>C151/D151</f>
        <v>418.32</v>
      </c>
      <c r="F151" s="100">
        <f>Assumptions!D28</f>
        <v>224847</v>
      </c>
      <c r="G151" s="101">
        <f>Assumptions!$D$5</f>
        <v>602</v>
      </c>
      <c r="H151" s="102">
        <f>F151/G151</f>
        <v>373.5</v>
      </c>
      <c r="I151" s="103">
        <f>Assumptions!D29</f>
        <v>264617.27999999997</v>
      </c>
      <c r="J151" s="104">
        <f>Assumptions!$D$6</f>
        <v>738</v>
      </c>
      <c r="K151" s="105">
        <f>I151/J151</f>
        <v>358.55999999999995</v>
      </c>
      <c r="L151" s="106">
        <f>Assumptions!D30</f>
        <v>245792.88</v>
      </c>
      <c r="M151" s="107">
        <f>Assumptions!$D$7</f>
        <v>914</v>
      </c>
      <c r="N151" s="108">
        <f>L151/M151</f>
        <v>268.92</v>
      </c>
      <c r="O151" s="109">
        <f>Assumptions!D31</f>
        <v>245792.88</v>
      </c>
      <c r="P151" s="110">
        <f>Assumptions!$D$8</f>
        <v>914</v>
      </c>
      <c r="Q151" s="111">
        <f>O151/P151</f>
        <v>268.92</v>
      </c>
    </row>
    <row r="152" spans="1:18" s="95" customFormat="1" x14ac:dyDescent="0.2">
      <c r="A152" s="95" t="s">
        <v>63</v>
      </c>
      <c r="B152" s="96"/>
      <c r="C152" s="97">
        <f>C150-C151</f>
        <v>39960.159364539344</v>
      </c>
      <c r="D152" s="98">
        <f>Assumptions!$D$4</f>
        <v>376</v>
      </c>
      <c r="E152" s="99">
        <f>C152/D152</f>
        <v>106.2770195865408</v>
      </c>
      <c r="F152" s="100">
        <f>F150-F151</f>
        <v>74925.550884066848</v>
      </c>
      <c r="G152" s="101">
        <f>Assumptions!$D$5</f>
        <v>602</v>
      </c>
      <c r="H152" s="102">
        <f>F152/G152</f>
        <v>124.46104798017748</v>
      </c>
      <c r="I152" s="103">
        <f>I150-I151</f>
        <v>69963.017810141901</v>
      </c>
      <c r="J152" s="104">
        <f>Assumptions!$D$6</f>
        <v>738</v>
      </c>
      <c r="K152" s="105">
        <f>I152/J152</f>
        <v>94.800837141113689</v>
      </c>
      <c r="L152" s="106">
        <f>L150-L151</f>
        <v>27518.776326305524</v>
      </c>
      <c r="M152" s="107">
        <f>Assumptions!$D$7</f>
        <v>914</v>
      </c>
      <c r="N152" s="108">
        <f>L152/M152</f>
        <v>30.108070378890069</v>
      </c>
      <c r="O152" s="109">
        <f>O150-O151</f>
        <v>2190.7609201685118</v>
      </c>
      <c r="P152" s="110">
        <f>Assumptions!$D$8</f>
        <v>914</v>
      </c>
      <c r="Q152" s="111">
        <f>O152/P152</f>
        <v>2.3968937857423542</v>
      </c>
    </row>
    <row r="153" spans="1:18" x14ac:dyDescent="0.2">
      <c r="D153" s="2"/>
      <c r="G153" s="12" t="s">
        <v>53</v>
      </c>
      <c r="H153" s="52" t="s">
        <v>53</v>
      </c>
      <c r="J153" s="12"/>
      <c r="M153" s="12"/>
      <c r="P153" s="12"/>
    </row>
    <row r="154" spans="1:18" x14ac:dyDescent="0.2">
      <c r="A154" s="20" t="s">
        <v>107</v>
      </c>
      <c r="G154" s="12"/>
      <c r="J154" s="12"/>
      <c r="M154" s="12"/>
      <c r="P154" s="12"/>
    </row>
    <row r="155" spans="1:18" s="9" customFormat="1" x14ac:dyDescent="0.2">
      <c r="B155" s="22"/>
      <c r="C155" s="375" t="s">
        <v>70</v>
      </c>
      <c r="D155" s="375"/>
      <c r="E155" s="376"/>
      <c r="F155" s="377" t="s">
        <v>71</v>
      </c>
      <c r="G155" s="377"/>
      <c r="H155" s="378"/>
      <c r="I155" s="379" t="s">
        <v>72</v>
      </c>
      <c r="J155" s="380"/>
      <c r="K155" s="381"/>
      <c r="L155" s="369" t="s">
        <v>73</v>
      </c>
      <c r="M155" s="370"/>
      <c r="N155" s="371"/>
      <c r="O155" s="372" t="s">
        <v>74</v>
      </c>
      <c r="P155" s="373"/>
      <c r="Q155" s="374"/>
    </row>
    <row r="156" spans="1:18" s="9" customFormat="1" x14ac:dyDescent="0.2">
      <c r="B156" s="22" t="s">
        <v>55</v>
      </c>
      <c r="C156" s="84" t="s">
        <v>2</v>
      </c>
      <c r="D156" s="32" t="s">
        <v>114</v>
      </c>
      <c r="E156" s="53" t="s">
        <v>84</v>
      </c>
      <c r="F156" s="78" t="s">
        <v>2</v>
      </c>
      <c r="G156" s="34" t="s">
        <v>114</v>
      </c>
      <c r="H156" s="57" t="s">
        <v>84</v>
      </c>
      <c r="I156" s="74" t="s">
        <v>87</v>
      </c>
      <c r="J156" s="26" t="s">
        <v>114</v>
      </c>
      <c r="K156" s="58" t="s">
        <v>88</v>
      </c>
      <c r="L156" s="70" t="s">
        <v>87</v>
      </c>
      <c r="M156" s="28" t="s">
        <v>114</v>
      </c>
      <c r="N156" s="60" t="s">
        <v>88</v>
      </c>
      <c r="O156" s="63" t="s">
        <v>87</v>
      </c>
      <c r="P156" s="30" t="s">
        <v>114</v>
      </c>
      <c r="Q156" s="61" t="s">
        <v>88</v>
      </c>
    </row>
    <row r="157" spans="1:18" x14ac:dyDescent="0.2">
      <c r="A157" s="20" t="s">
        <v>64</v>
      </c>
      <c r="B157" s="23" t="s">
        <v>53</v>
      </c>
      <c r="C157" s="85">
        <f>C118</f>
        <v>263200</v>
      </c>
      <c r="D157" s="33">
        <f>Assumptions!$D$4</f>
        <v>376</v>
      </c>
      <c r="E157" s="47">
        <f>C157/D157</f>
        <v>700</v>
      </c>
      <c r="F157" s="82">
        <f>F118</f>
        <v>376250</v>
      </c>
      <c r="G157" s="36">
        <f>Assumptions!$D$5</f>
        <v>602</v>
      </c>
      <c r="H157" s="48">
        <f>F157/G157</f>
        <v>625</v>
      </c>
      <c r="I157" s="76">
        <f>I118</f>
        <v>442800</v>
      </c>
      <c r="J157" s="37">
        <f>Assumptions!$D$6</f>
        <v>738</v>
      </c>
      <c r="K157" s="49">
        <f>I157/J157</f>
        <v>600</v>
      </c>
      <c r="L157" s="72">
        <f>L118</f>
        <v>411300</v>
      </c>
      <c r="M157" s="38">
        <f>Assumptions!$D$7</f>
        <v>914</v>
      </c>
      <c r="N157" s="50">
        <f>L157/M157</f>
        <v>450</v>
      </c>
      <c r="O157" s="65">
        <f>O118</f>
        <v>411300</v>
      </c>
      <c r="P157" s="10">
        <f>Assumptions!$D$8</f>
        <v>914</v>
      </c>
      <c r="Q157" s="51">
        <f>O157/P157</f>
        <v>450</v>
      </c>
    </row>
    <row r="158" spans="1:18" x14ac:dyDescent="0.2">
      <c r="A158" s="20" t="s">
        <v>60</v>
      </c>
      <c r="B158" s="23">
        <v>60</v>
      </c>
      <c r="C158" s="88">
        <f>C126</f>
        <v>95555.694486789624</v>
      </c>
      <c r="D158" s="33">
        <f>Assumptions!$D$4</f>
        <v>376</v>
      </c>
      <c r="E158" s="90">
        <f>C158/D158</f>
        <v>254.13748533720644</v>
      </c>
      <c r="F158" s="83">
        <f>F126</f>
        <v>108219.70218985813</v>
      </c>
      <c r="G158" s="36">
        <f>Assumptions!$D$5</f>
        <v>602</v>
      </c>
      <c r="H158" s="91">
        <f>F158/G158</f>
        <v>179.76694715923279</v>
      </c>
      <c r="I158" s="77">
        <f>I126</f>
        <v>146376.19293157101</v>
      </c>
      <c r="J158" s="37">
        <f>Assumptions!$D$6</f>
        <v>738</v>
      </c>
      <c r="K158" s="92">
        <f>I158/J158</f>
        <v>198.34172483952713</v>
      </c>
      <c r="L158" s="73">
        <f>L126</f>
        <v>182065.66918567318</v>
      </c>
      <c r="M158" s="38">
        <f>Assumptions!$D$7</f>
        <v>914</v>
      </c>
      <c r="N158" s="93">
        <f>L158/M158</f>
        <v>199.19657460139297</v>
      </c>
      <c r="O158" s="66">
        <f>O126</f>
        <v>212492.18119953905</v>
      </c>
      <c r="P158" s="10">
        <f>Assumptions!$D$8</f>
        <v>914</v>
      </c>
      <c r="Q158" s="94">
        <f>O158/P158</f>
        <v>232.48597505420028</v>
      </c>
    </row>
    <row r="159" spans="1:18" x14ac:dyDescent="0.2">
      <c r="A159" s="20" t="s">
        <v>108</v>
      </c>
      <c r="B159" s="23"/>
      <c r="C159" s="85">
        <f>C157-C158</f>
        <v>167644.30551321036</v>
      </c>
      <c r="D159" s="33">
        <f>Assumptions!$D$4</f>
        <v>376</v>
      </c>
      <c r="E159" s="47">
        <f>C159/D159</f>
        <v>445.8625146627935</v>
      </c>
      <c r="F159" s="82">
        <f>F157-F158</f>
        <v>268030.29781014187</v>
      </c>
      <c r="G159" s="36">
        <f>Assumptions!$D$5</f>
        <v>602</v>
      </c>
      <c r="H159" s="48">
        <f>F159/G159</f>
        <v>445.23305284076724</v>
      </c>
      <c r="I159" s="76">
        <f>I157-I158</f>
        <v>296423.80706842896</v>
      </c>
      <c r="J159" s="37">
        <f>Assumptions!$D$6</f>
        <v>738</v>
      </c>
      <c r="K159" s="49">
        <f>I159/J159</f>
        <v>401.65827516047284</v>
      </c>
      <c r="L159" s="72">
        <f>L157-L158</f>
        <v>229234.33081432682</v>
      </c>
      <c r="M159" s="38">
        <f>Assumptions!$D$7</f>
        <v>914</v>
      </c>
      <c r="N159" s="50">
        <f>L159/M159</f>
        <v>250.80342539860703</v>
      </c>
      <c r="O159" s="65">
        <f>O157-O158</f>
        <v>198807.81880046095</v>
      </c>
      <c r="P159" s="10">
        <f>Assumptions!$D$8</f>
        <v>914</v>
      </c>
      <c r="Q159" s="51">
        <f>O159/P159</f>
        <v>217.51402494579972</v>
      </c>
    </row>
    <row r="160" spans="1:18" s="95" customFormat="1" x14ac:dyDescent="0.2">
      <c r="A160" s="95" t="s">
        <v>62</v>
      </c>
      <c r="B160" s="96"/>
      <c r="C160" s="97">
        <f>Assumptions!D27</f>
        <v>157288.32000000001</v>
      </c>
      <c r="D160" s="98">
        <f>Assumptions!$D$4</f>
        <v>376</v>
      </c>
      <c r="E160" s="99">
        <f>C160/D160</f>
        <v>418.32</v>
      </c>
      <c r="F160" s="100">
        <f>Assumptions!D28</f>
        <v>224847</v>
      </c>
      <c r="G160" s="101">
        <f>Assumptions!$D$5</f>
        <v>602</v>
      </c>
      <c r="H160" s="102">
        <f>F160/G160</f>
        <v>373.5</v>
      </c>
      <c r="I160" s="103">
        <f>Assumptions!D29</f>
        <v>264617.27999999997</v>
      </c>
      <c r="J160" s="104">
        <f>Assumptions!$D$6</f>
        <v>738</v>
      </c>
      <c r="K160" s="105">
        <f>I160/J160</f>
        <v>358.55999999999995</v>
      </c>
      <c r="L160" s="106">
        <f>Assumptions!D30</f>
        <v>245792.88</v>
      </c>
      <c r="M160" s="107">
        <f>Assumptions!$D$7</f>
        <v>914</v>
      </c>
      <c r="N160" s="108">
        <f>L160/M160</f>
        <v>268.92</v>
      </c>
      <c r="O160" s="109">
        <f>Assumptions!D31</f>
        <v>245792.88</v>
      </c>
      <c r="P160" s="110">
        <f>Assumptions!$D$8</f>
        <v>914</v>
      </c>
      <c r="Q160" s="111">
        <f>O160/P160</f>
        <v>268.92</v>
      </c>
    </row>
    <row r="161" spans="1:17" s="95" customFormat="1" x14ac:dyDescent="0.2">
      <c r="A161" s="95" t="s">
        <v>63</v>
      </c>
      <c r="B161" s="96"/>
      <c r="C161" s="97">
        <f>C159-C160</f>
        <v>10355.985513210355</v>
      </c>
      <c r="D161" s="98">
        <f>Assumptions!$D$4</f>
        <v>376</v>
      </c>
      <c r="E161" s="99">
        <f>C161/D161</f>
        <v>27.542514662793497</v>
      </c>
      <c r="F161" s="100">
        <f>F159-F160</f>
        <v>43183.29781014187</v>
      </c>
      <c r="G161" s="101">
        <f>Assumptions!$D$5</f>
        <v>602</v>
      </c>
      <c r="H161" s="102">
        <f>F161/G161</f>
        <v>71.733052840767229</v>
      </c>
      <c r="I161" s="103">
        <f>I159-I160</f>
        <v>31806.527068428986</v>
      </c>
      <c r="J161" s="104">
        <f>Assumptions!$D$6</f>
        <v>738</v>
      </c>
      <c r="K161" s="105">
        <f>I161/J161</f>
        <v>43.09827516047288</v>
      </c>
      <c r="L161" s="106">
        <f>L159-L160</f>
        <v>-16558.549185673182</v>
      </c>
      <c r="M161" s="107">
        <f>Assumptions!$D$7</f>
        <v>914</v>
      </c>
      <c r="N161" s="108">
        <f>L161/M161</f>
        <v>-18.11657460139298</v>
      </c>
      <c r="O161" s="109">
        <f>O159-O160</f>
        <v>-46985.06119953905</v>
      </c>
      <c r="P161" s="110">
        <f>Assumptions!$D$8</f>
        <v>914</v>
      </c>
      <c r="Q161" s="111">
        <f>O161/P161</f>
        <v>-51.405975054200276</v>
      </c>
    </row>
    <row r="162" spans="1:17" x14ac:dyDescent="0.2">
      <c r="D162" s="2"/>
      <c r="G162" s="12"/>
      <c r="J162" s="12"/>
      <c r="M162" s="12"/>
      <c r="P162" s="12"/>
    </row>
    <row r="163" spans="1:17" x14ac:dyDescent="0.2">
      <c r="D163" s="2"/>
      <c r="G163" s="12"/>
      <c r="J163" s="12"/>
      <c r="M163" s="12"/>
      <c r="P163" s="12"/>
    </row>
    <row r="164" spans="1:17" x14ac:dyDescent="0.2">
      <c r="A164" s="20" t="s">
        <v>104</v>
      </c>
      <c r="B164" s="20"/>
      <c r="G164" s="12"/>
      <c r="J164" s="12"/>
      <c r="M164" s="12"/>
      <c r="P164" s="12"/>
    </row>
    <row r="165" spans="1:17" x14ac:dyDescent="0.2">
      <c r="G165" s="12"/>
      <c r="J165" s="12"/>
      <c r="M165" s="12"/>
      <c r="P165" s="12"/>
    </row>
    <row r="166" spans="1:17" x14ac:dyDescent="0.2">
      <c r="A166" s="20" t="s">
        <v>105</v>
      </c>
      <c r="G166" s="12"/>
      <c r="J166" s="12"/>
      <c r="M166" s="12"/>
      <c r="P166" s="12"/>
    </row>
    <row r="167" spans="1:17" s="9" customFormat="1" x14ac:dyDescent="0.2">
      <c r="B167" s="22"/>
      <c r="C167" s="375" t="s">
        <v>70</v>
      </c>
      <c r="D167" s="375"/>
      <c r="E167" s="376"/>
      <c r="F167" s="377" t="s">
        <v>71</v>
      </c>
      <c r="G167" s="377"/>
      <c r="H167" s="378"/>
      <c r="I167" s="379" t="s">
        <v>72</v>
      </c>
      <c r="J167" s="380"/>
      <c r="K167" s="381"/>
      <c r="L167" s="369" t="s">
        <v>73</v>
      </c>
      <c r="M167" s="370"/>
      <c r="N167" s="371"/>
      <c r="O167" s="372" t="s">
        <v>74</v>
      </c>
      <c r="P167" s="373"/>
      <c r="Q167" s="374"/>
    </row>
    <row r="168" spans="1:17" s="9" customFormat="1" x14ac:dyDescent="0.2">
      <c r="B168" s="22" t="s">
        <v>55</v>
      </c>
      <c r="C168" s="84" t="s">
        <v>87</v>
      </c>
      <c r="D168" s="32" t="s">
        <v>114</v>
      </c>
      <c r="E168" s="53" t="s">
        <v>88</v>
      </c>
      <c r="F168" s="78" t="s">
        <v>87</v>
      </c>
      <c r="G168" s="34" t="s">
        <v>114</v>
      </c>
      <c r="H168" s="57" t="s">
        <v>88</v>
      </c>
      <c r="I168" s="74" t="s">
        <v>87</v>
      </c>
      <c r="J168" s="26" t="s">
        <v>114</v>
      </c>
      <c r="K168" s="58" t="s">
        <v>88</v>
      </c>
      <c r="L168" s="70" t="s">
        <v>87</v>
      </c>
      <c r="M168" s="28" t="s">
        <v>114</v>
      </c>
      <c r="N168" s="60" t="s">
        <v>88</v>
      </c>
      <c r="O168" s="63" t="s">
        <v>87</v>
      </c>
      <c r="P168" s="30" t="s">
        <v>114</v>
      </c>
      <c r="Q168" s="61" t="s">
        <v>88</v>
      </c>
    </row>
    <row r="169" spans="1:17" x14ac:dyDescent="0.2">
      <c r="A169" s="20" t="s">
        <v>64</v>
      </c>
      <c r="B169" s="23" t="s">
        <v>53</v>
      </c>
      <c r="C169" s="85">
        <f>C148</f>
        <v>263200</v>
      </c>
      <c r="D169" s="33">
        <f>Assumptions!$D$4</f>
        <v>376</v>
      </c>
      <c r="E169" s="47">
        <f>C169/D169</f>
        <v>700</v>
      </c>
      <c r="F169" s="82">
        <f>F148</f>
        <v>376250</v>
      </c>
      <c r="G169" s="36">
        <f>Assumptions!$D$5</f>
        <v>602</v>
      </c>
      <c r="H169" s="48">
        <f>F169/G169</f>
        <v>625</v>
      </c>
      <c r="I169" s="76">
        <f>I148</f>
        <v>442800</v>
      </c>
      <c r="J169" s="37">
        <f>Assumptions!$D$6</f>
        <v>738</v>
      </c>
      <c r="K169" s="49">
        <f>I169/J169</f>
        <v>600</v>
      </c>
      <c r="L169" s="72">
        <f>L148</f>
        <v>411300</v>
      </c>
      <c r="M169" s="38">
        <f>Assumptions!$D$7</f>
        <v>914</v>
      </c>
      <c r="N169" s="50">
        <f>L169/M169</f>
        <v>450</v>
      </c>
      <c r="O169" s="65">
        <f>O148</f>
        <v>411300</v>
      </c>
      <c r="P169" s="10">
        <f>Assumptions!$D$8</f>
        <v>914</v>
      </c>
      <c r="Q169" s="51">
        <f>O169/P169</f>
        <v>450</v>
      </c>
    </row>
    <row r="170" spans="1:17" x14ac:dyDescent="0.2">
      <c r="A170" s="20" t="s">
        <v>60</v>
      </c>
      <c r="B170" s="23">
        <v>30</v>
      </c>
      <c r="C170" s="88">
        <f>C124</f>
        <v>6578.7053002953271</v>
      </c>
      <c r="D170" s="33">
        <f>Assumptions!$D$4</f>
        <v>376</v>
      </c>
      <c r="E170" s="90">
        <f>C170/D170</f>
        <v>17.496556649721615</v>
      </c>
      <c r="F170" s="83">
        <f>F124</f>
        <v>12992.942968083273</v>
      </c>
      <c r="G170" s="36">
        <f>Assumptions!$D$5</f>
        <v>602</v>
      </c>
      <c r="H170" s="48">
        <f>F170/G170</f>
        <v>21.582961741002116</v>
      </c>
      <c r="I170" s="77">
        <f>I124</f>
        <v>32071.188338939715</v>
      </c>
      <c r="J170" s="37">
        <f>Assumptions!$D$6</f>
        <v>738</v>
      </c>
      <c r="K170" s="92">
        <f>I170/J170</f>
        <v>43.456894768210994</v>
      </c>
      <c r="L170" s="73">
        <f>L124</f>
        <v>49833.692649737102</v>
      </c>
      <c r="M170" s="38">
        <f>Assumptions!$D$7</f>
        <v>914</v>
      </c>
      <c r="N170" s="93">
        <f>L170/M170</f>
        <v>54.522639660543874</v>
      </c>
      <c r="O170" s="66">
        <f>O124</f>
        <v>65129.182472923727</v>
      </c>
      <c r="P170" s="10">
        <f>Assumptions!$D$8</f>
        <v>914</v>
      </c>
      <c r="Q170" s="94">
        <f>O170/P170</f>
        <v>71.257311239522679</v>
      </c>
    </row>
    <row r="171" spans="1:17" x14ac:dyDescent="0.2">
      <c r="A171" s="20" t="s">
        <v>108</v>
      </c>
      <c r="B171" s="23"/>
      <c r="C171" s="85">
        <f>C169-C170</f>
        <v>256621.29469970468</v>
      </c>
      <c r="D171" s="33">
        <f>Assumptions!$D$4</f>
        <v>376</v>
      </c>
      <c r="E171" s="47">
        <f>C171/D171</f>
        <v>682.50344335027842</v>
      </c>
      <c r="F171" s="82">
        <f>F169-F170</f>
        <v>363257.05703191675</v>
      </c>
      <c r="G171" s="36">
        <f>Assumptions!$D$5</f>
        <v>602</v>
      </c>
      <c r="H171" s="48">
        <f>F171/G171</f>
        <v>603.41703825899788</v>
      </c>
      <c r="I171" s="76">
        <f>I169-I170</f>
        <v>410728.81166106026</v>
      </c>
      <c r="J171" s="37">
        <f>Assumptions!$D$6</f>
        <v>738</v>
      </c>
      <c r="K171" s="49">
        <f>I171/J171</f>
        <v>556.54310523178901</v>
      </c>
      <c r="L171" s="72">
        <f>L169-L170</f>
        <v>361466.30735026288</v>
      </c>
      <c r="M171" s="38">
        <f>Assumptions!$D$7</f>
        <v>914</v>
      </c>
      <c r="N171" s="50">
        <f>L171/M171</f>
        <v>395.47736033945608</v>
      </c>
      <c r="O171" s="65">
        <f>O169-O170</f>
        <v>346170.81752707629</v>
      </c>
      <c r="P171" s="10">
        <f>Assumptions!$D$8</f>
        <v>914</v>
      </c>
      <c r="Q171" s="51">
        <f>O171/P171</f>
        <v>378.74268876047734</v>
      </c>
    </row>
    <row r="172" spans="1:17" s="20" customFormat="1" x14ac:dyDescent="0.2">
      <c r="A172" s="20" t="s">
        <v>62</v>
      </c>
      <c r="B172" s="43"/>
      <c r="C172" s="123">
        <f>Assumptions!G27</f>
        <v>51992.528000000006</v>
      </c>
      <c r="D172" s="124">
        <f>Assumptions!$D$4</f>
        <v>376</v>
      </c>
      <c r="E172" s="125">
        <f>C172/D172</f>
        <v>138.27800000000002</v>
      </c>
      <c r="F172" s="121">
        <f>Assumptions!G28</f>
        <v>84942.200000000012</v>
      </c>
      <c r="G172" s="122">
        <f>Assumptions!$D$5</f>
        <v>602</v>
      </c>
      <c r="H172" s="120">
        <f>F172/G172</f>
        <v>141.10000000000002</v>
      </c>
      <c r="I172" s="117">
        <f>Assumptions!G29</f>
        <v>99966.527999999991</v>
      </c>
      <c r="J172" s="118">
        <f>Assumptions!$D$6</f>
        <v>738</v>
      </c>
      <c r="K172" s="119">
        <f>I172/J172</f>
        <v>135.45599999999999</v>
      </c>
      <c r="L172" s="114">
        <f>Assumptions!G30</f>
        <v>92855.088000000003</v>
      </c>
      <c r="M172" s="115">
        <f>Assumptions!$D$7</f>
        <v>914</v>
      </c>
      <c r="N172" s="116">
        <f>L172/M172</f>
        <v>101.592</v>
      </c>
      <c r="O172" s="112">
        <f>Assumptions!G31</f>
        <v>92855.088000000003</v>
      </c>
      <c r="P172" s="11">
        <f>Assumptions!$D$8</f>
        <v>914</v>
      </c>
      <c r="Q172" s="113">
        <f>O172/P172</f>
        <v>101.592</v>
      </c>
    </row>
    <row r="173" spans="1:17" s="20" customFormat="1" x14ac:dyDescent="0.2">
      <c r="A173" s="20" t="s">
        <v>63</v>
      </c>
      <c r="B173" s="43"/>
      <c r="C173" s="123">
        <f>C171-C172</f>
        <v>204628.76669970469</v>
      </c>
      <c r="D173" s="124">
        <f>Assumptions!$D$4</f>
        <v>376</v>
      </c>
      <c r="E173" s="125">
        <f>C173/D173</f>
        <v>544.2254433502784</v>
      </c>
      <c r="F173" s="121">
        <f>F171-F172</f>
        <v>278314.85703191673</v>
      </c>
      <c r="G173" s="122">
        <f>Assumptions!$D$5</f>
        <v>602</v>
      </c>
      <c r="H173" s="120">
        <f>F173/G173</f>
        <v>462.31703825899791</v>
      </c>
      <c r="I173" s="117">
        <f>I171-I172</f>
        <v>310762.28366106027</v>
      </c>
      <c r="J173" s="118">
        <f>Assumptions!$D$6</f>
        <v>738</v>
      </c>
      <c r="K173" s="119">
        <f>I173/J173</f>
        <v>421.087105231789</v>
      </c>
      <c r="L173" s="114">
        <f>L171-L172</f>
        <v>268611.21935026289</v>
      </c>
      <c r="M173" s="115">
        <f>Assumptions!$D$7</f>
        <v>914</v>
      </c>
      <c r="N173" s="116">
        <f>L173/M173</f>
        <v>293.8853603394561</v>
      </c>
      <c r="O173" s="112">
        <f>O171-O172</f>
        <v>253315.7295270763</v>
      </c>
      <c r="P173" s="11">
        <f>Assumptions!$D$8</f>
        <v>914</v>
      </c>
      <c r="Q173" s="113">
        <f>O173/P173</f>
        <v>277.15068876047735</v>
      </c>
    </row>
    <row r="174" spans="1:17" x14ac:dyDescent="0.2">
      <c r="D174" s="2"/>
      <c r="G174" s="12"/>
      <c r="J174" s="12"/>
      <c r="M174" s="12"/>
      <c r="P174" s="12"/>
    </row>
    <row r="175" spans="1:17" x14ac:dyDescent="0.2">
      <c r="A175" s="20" t="s">
        <v>106</v>
      </c>
      <c r="G175" s="12"/>
      <c r="J175" s="12"/>
      <c r="M175" s="12"/>
      <c r="P175" s="12"/>
    </row>
    <row r="176" spans="1:17" s="9" customFormat="1" x14ac:dyDescent="0.2">
      <c r="B176" s="22"/>
      <c r="C176" s="375" t="s">
        <v>70</v>
      </c>
      <c r="D176" s="375"/>
      <c r="E176" s="376"/>
      <c r="F176" s="377" t="s">
        <v>71</v>
      </c>
      <c r="G176" s="377"/>
      <c r="H176" s="378"/>
      <c r="I176" s="379" t="s">
        <v>72</v>
      </c>
      <c r="J176" s="380"/>
      <c r="K176" s="381"/>
      <c r="L176" s="369" t="s">
        <v>73</v>
      </c>
      <c r="M176" s="370"/>
      <c r="N176" s="371"/>
      <c r="O176" s="372" t="s">
        <v>74</v>
      </c>
      <c r="P176" s="373"/>
      <c r="Q176" s="374"/>
    </row>
    <row r="177" spans="1:17" s="9" customFormat="1" x14ac:dyDescent="0.2">
      <c r="B177" s="22" t="s">
        <v>55</v>
      </c>
      <c r="C177" s="84" t="s">
        <v>87</v>
      </c>
      <c r="D177" s="32" t="s">
        <v>114</v>
      </c>
      <c r="E177" s="53" t="s">
        <v>88</v>
      </c>
      <c r="F177" s="78" t="s">
        <v>87</v>
      </c>
      <c r="G177" s="34" t="s">
        <v>114</v>
      </c>
      <c r="H177" s="57" t="s">
        <v>88</v>
      </c>
      <c r="I177" s="74" t="s">
        <v>87</v>
      </c>
      <c r="J177" s="26" t="s">
        <v>114</v>
      </c>
      <c r="K177" s="58" t="s">
        <v>88</v>
      </c>
      <c r="L177" s="70" t="s">
        <v>87</v>
      </c>
      <c r="M177" s="28" t="s">
        <v>114</v>
      </c>
      <c r="N177" s="60" t="s">
        <v>88</v>
      </c>
      <c r="O177" s="63" t="s">
        <v>87</v>
      </c>
      <c r="P177" s="30" t="s">
        <v>114</v>
      </c>
      <c r="Q177" s="61" t="s">
        <v>88</v>
      </c>
    </row>
    <row r="178" spans="1:17" x14ac:dyDescent="0.2">
      <c r="A178" s="20" t="s">
        <v>64</v>
      </c>
      <c r="B178" s="23" t="s">
        <v>53</v>
      </c>
      <c r="C178" s="85">
        <f>C148</f>
        <v>263200</v>
      </c>
      <c r="D178" s="33">
        <f>Assumptions!$D$4</f>
        <v>376</v>
      </c>
      <c r="E178" s="47">
        <f>C178/D178</f>
        <v>700</v>
      </c>
      <c r="F178" s="82">
        <f>F148</f>
        <v>376250</v>
      </c>
      <c r="G178" s="36">
        <f>Assumptions!$D$5</f>
        <v>602</v>
      </c>
      <c r="H178" s="48">
        <f>F178/G178</f>
        <v>625</v>
      </c>
      <c r="I178" s="76">
        <f>I148</f>
        <v>442800</v>
      </c>
      <c r="J178" s="37">
        <f>Assumptions!$D$6</f>
        <v>738</v>
      </c>
      <c r="K178" s="49">
        <f>I178/J178</f>
        <v>600</v>
      </c>
      <c r="L178" s="72">
        <f>L148</f>
        <v>411300</v>
      </c>
      <c r="M178" s="38">
        <f>Assumptions!$D$7</f>
        <v>914</v>
      </c>
      <c r="N178" s="50">
        <f>L178/M178</f>
        <v>450</v>
      </c>
      <c r="O178" s="65">
        <f>O148</f>
        <v>411300</v>
      </c>
      <c r="P178" s="10">
        <f>Assumptions!$D$8</f>
        <v>914</v>
      </c>
      <c r="Q178" s="51">
        <f>O178/P178</f>
        <v>450</v>
      </c>
    </row>
    <row r="179" spans="1:17" x14ac:dyDescent="0.2">
      <c r="A179" s="20" t="s">
        <v>60</v>
      </c>
      <c r="B179" s="23">
        <v>50</v>
      </c>
      <c r="C179" s="88">
        <f>C125</f>
        <v>65951.520635460649</v>
      </c>
      <c r="D179" s="33">
        <f>Assumptions!$D$4</f>
        <v>376</v>
      </c>
      <c r="E179" s="90">
        <f>C179/D179</f>
        <v>175.40298041345918</v>
      </c>
      <c r="F179" s="83">
        <f>F125</f>
        <v>76477.449115933166</v>
      </c>
      <c r="G179" s="36">
        <f>Assumptions!$D$5</f>
        <v>602</v>
      </c>
      <c r="H179" s="48">
        <f>F179/G179</f>
        <v>127.03895201982253</v>
      </c>
      <c r="I179" s="77">
        <f>I125</f>
        <v>108219.70218985813</v>
      </c>
      <c r="J179" s="37">
        <f>Assumptions!$D$6</f>
        <v>738</v>
      </c>
      <c r="K179" s="92">
        <f>I179/J179</f>
        <v>146.63916285888635</v>
      </c>
      <c r="L179" s="73">
        <f>L125</f>
        <v>137988.34367369447</v>
      </c>
      <c r="M179" s="38">
        <f>Assumptions!$D$7</f>
        <v>914</v>
      </c>
      <c r="N179" s="93">
        <f>L179/M179</f>
        <v>150.97192962110992</v>
      </c>
      <c r="O179" s="66">
        <f>O125</f>
        <v>163316.35907983148</v>
      </c>
      <c r="P179" s="10">
        <f>Assumptions!$D$8</f>
        <v>914</v>
      </c>
      <c r="Q179" s="94">
        <f>O179/P179</f>
        <v>178.68310621425763</v>
      </c>
    </row>
    <row r="180" spans="1:17" x14ac:dyDescent="0.2">
      <c r="A180" s="20" t="s">
        <v>108</v>
      </c>
      <c r="B180" s="23"/>
      <c r="C180" s="85">
        <f>C178-C179</f>
        <v>197248.47936453935</v>
      </c>
      <c r="D180" s="33">
        <f>Assumptions!$D$4</f>
        <v>376</v>
      </c>
      <c r="E180" s="47">
        <f>C180/D180</f>
        <v>524.5970195865408</v>
      </c>
      <c r="F180" s="82">
        <f>F178-F179</f>
        <v>299772.55088406685</v>
      </c>
      <c r="G180" s="36">
        <f>Assumptions!$D$5</f>
        <v>602</v>
      </c>
      <c r="H180" s="48">
        <f>F180/G180</f>
        <v>497.96104798017751</v>
      </c>
      <c r="I180" s="76">
        <f>I178-I179</f>
        <v>334580.29781014187</v>
      </c>
      <c r="J180" s="37">
        <f>Assumptions!$D$6</f>
        <v>738</v>
      </c>
      <c r="K180" s="49">
        <f>I180/J180</f>
        <v>453.36083714111362</v>
      </c>
      <c r="L180" s="72">
        <f>L178-L179</f>
        <v>273311.65632630553</v>
      </c>
      <c r="M180" s="38">
        <f>Assumptions!$D$7</f>
        <v>914</v>
      </c>
      <c r="N180" s="50">
        <f>L180/M180</f>
        <v>299.02807037889005</v>
      </c>
      <c r="O180" s="65">
        <f>O178-O179</f>
        <v>247983.64092016852</v>
      </c>
      <c r="P180" s="10">
        <f>Assumptions!$D$8</f>
        <v>914</v>
      </c>
      <c r="Q180" s="51">
        <f>O180/P180</f>
        <v>271.31689378574237</v>
      </c>
    </row>
    <row r="181" spans="1:17" s="20" customFormat="1" x14ac:dyDescent="0.2">
      <c r="A181" s="20" t="s">
        <v>62</v>
      </c>
      <c r="B181" s="43"/>
      <c r="C181" s="123">
        <f>Assumptions!G27</f>
        <v>51992.528000000006</v>
      </c>
      <c r="D181" s="124">
        <f>Assumptions!$D$4</f>
        <v>376</v>
      </c>
      <c r="E181" s="125">
        <f>C181/D181</f>
        <v>138.27800000000002</v>
      </c>
      <c r="F181" s="121">
        <f>Assumptions!G28</f>
        <v>84942.200000000012</v>
      </c>
      <c r="G181" s="122">
        <f>Assumptions!$D$5</f>
        <v>602</v>
      </c>
      <c r="H181" s="120">
        <f>F181/G181</f>
        <v>141.10000000000002</v>
      </c>
      <c r="I181" s="117">
        <f>Assumptions!G29</f>
        <v>99966.527999999991</v>
      </c>
      <c r="J181" s="118">
        <f>Assumptions!$D$6</f>
        <v>738</v>
      </c>
      <c r="K181" s="119">
        <f>I181/J181</f>
        <v>135.45599999999999</v>
      </c>
      <c r="L181" s="114">
        <f>Assumptions!G30</f>
        <v>92855.088000000003</v>
      </c>
      <c r="M181" s="115">
        <f>Assumptions!$D$7</f>
        <v>914</v>
      </c>
      <c r="N181" s="116">
        <f>L181/M181</f>
        <v>101.592</v>
      </c>
      <c r="O181" s="112">
        <f>Assumptions!G31</f>
        <v>92855.088000000003</v>
      </c>
      <c r="P181" s="11">
        <f>Assumptions!$D$8</f>
        <v>914</v>
      </c>
      <c r="Q181" s="113">
        <f>O181/P181</f>
        <v>101.592</v>
      </c>
    </row>
    <row r="182" spans="1:17" s="20" customFormat="1" x14ac:dyDescent="0.2">
      <c r="A182" s="20" t="s">
        <v>63</v>
      </c>
      <c r="B182" s="43"/>
      <c r="C182" s="123">
        <f>C180-C181</f>
        <v>145255.95136453933</v>
      </c>
      <c r="D182" s="124">
        <f>Assumptions!$D$4</f>
        <v>376</v>
      </c>
      <c r="E182" s="125">
        <f>C182/D182</f>
        <v>386.31901958654078</v>
      </c>
      <c r="F182" s="121">
        <f>F180-F181</f>
        <v>214830.35088406684</v>
      </c>
      <c r="G182" s="122">
        <f>Assumptions!$D$5</f>
        <v>602</v>
      </c>
      <c r="H182" s="120">
        <f>F182/G182</f>
        <v>356.86104798017749</v>
      </c>
      <c r="I182" s="117">
        <f>I180-I181</f>
        <v>234613.76981014188</v>
      </c>
      <c r="J182" s="118">
        <f>Assumptions!$D$6</f>
        <v>738</v>
      </c>
      <c r="K182" s="119">
        <f>I182/J182</f>
        <v>317.90483714111366</v>
      </c>
      <c r="L182" s="114">
        <f>L180-L181</f>
        <v>180456.56832630554</v>
      </c>
      <c r="M182" s="115">
        <f>Assumptions!$D$7</f>
        <v>914</v>
      </c>
      <c r="N182" s="116">
        <f>L182/M182</f>
        <v>197.43607037889009</v>
      </c>
      <c r="O182" s="112">
        <f>O180-O181</f>
        <v>155128.5529201685</v>
      </c>
      <c r="P182" s="11">
        <f>Assumptions!$D$8</f>
        <v>914</v>
      </c>
      <c r="Q182" s="113">
        <f>O182/P182</f>
        <v>169.72489378574235</v>
      </c>
    </row>
    <row r="183" spans="1:17" x14ac:dyDescent="0.2">
      <c r="D183" s="2"/>
      <c r="G183" s="12"/>
      <c r="J183" s="12"/>
      <c r="M183" s="12"/>
      <c r="P183" s="12"/>
    </row>
    <row r="184" spans="1:17" x14ac:dyDescent="0.2">
      <c r="A184" s="20" t="s">
        <v>107</v>
      </c>
      <c r="G184" s="12"/>
      <c r="J184" s="12"/>
      <c r="M184" s="12"/>
      <c r="P184" s="12"/>
    </row>
    <row r="185" spans="1:17" s="9" customFormat="1" x14ac:dyDescent="0.2">
      <c r="B185" s="22"/>
      <c r="C185" s="375" t="s">
        <v>70</v>
      </c>
      <c r="D185" s="375"/>
      <c r="E185" s="376"/>
      <c r="F185" s="377" t="s">
        <v>71</v>
      </c>
      <c r="G185" s="377"/>
      <c r="H185" s="378"/>
      <c r="I185" s="379" t="s">
        <v>72</v>
      </c>
      <c r="J185" s="380"/>
      <c r="K185" s="381"/>
      <c r="L185" s="369" t="s">
        <v>73</v>
      </c>
      <c r="M185" s="370"/>
      <c r="N185" s="371"/>
      <c r="O185" s="372" t="s">
        <v>74</v>
      </c>
      <c r="P185" s="373"/>
      <c r="Q185" s="374"/>
    </row>
    <row r="186" spans="1:17" s="9" customFormat="1" x14ac:dyDescent="0.2">
      <c r="B186" s="22" t="s">
        <v>55</v>
      </c>
      <c r="C186" s="84" t="s">
        <v>87</v>
      </c>
      <c r="D186" s="32" t="s">
        <v>114</v>
      </c>
      <c r="E186" s="53" t="s">
        <v>88</v>
      </c>
      <c r="F186" s="78" t="s">
        <v>87</v>
      </c>
      <c r="G186" s="34" t="s">
        <v>114</v>
      </c>
      <c r="H186" s="57" t="s">
        <v>88</v>
      </c>
      <c r="I186" s="74" t="s">
        <v>87</v>
      </c>
      <c r="J186" s="26" t="s">
        <v>114</v>
      </c>
      <c r="K186" s="58" t="s">
        <v>88</v>
      </c>
      <c r="L186" s="70" t="s">
        <v>87</v>
      </c>
      <c r="M186" s="28" t="s">
        <v>114</v>
      </c>
      <c r="N186" s="60" t="s">
        <v>88</v>
      </c>
      <c r="O186" s="63" t="s">
        <v>87</v>
      </c>
      <c r="P186" s="30" t="s">
        <v>114</v>
      </c>
      <c r="Q186" s="61" t="s">
        <v>88</v>
      </c>
    </row>
    <row r="187" spans="1:17" x14ac:dyDescent="0.2">
      <c r="A187" s="20" t="s">
        <v>64</v>
      </c>
      <c r="B187" s="23" t="s">
        <v>53</v>
      </c>
      <c r="C187" s="85">
        <f>C148</f>
        <v>263200</v>
      </c>
      <c r="D187" s="33">
        <f>Assumptions!$D$4</f>
        <v>376</v>
      </c>
      <c r="E187" s="47">
        <f>C187/D187</f>
        <v>700</v>
      </c>
      <c r="F187" s="82">
        <f>F148</f>
        <v>376250</v>
      </c>
      <c r="G187" s="36">
        <f>Assumptions!$D$5</f>
        <v>602</v>
      </c>
      <c r="H187" s="48">
        <f>F187/G187</f>
        <v>625</v>
      </c>
      <c r="I187" s="76">
        <f>I148</f>
        <v>442800</v>
      </c>
      <c r="J187" s="37">
        <f>Assumptions!$D$6</f>
        <v>738</v>
      </c>
      <c r="K187" s="49">
        <f>I187/J187</f>
        <v>600</v>
      </c>
      <c r="L187" s="72">
        <f>L148</f>
        <v>411300</v>
      </c>
      <c r="M187" s="38">
        <f>Assumptions!$D$7</f>
        <v>914</v>
      </c>
      <c r="N187" s="50">
        <f>L187/M187</f>
        <v>450</v>
      </c>
      <c r="O187" s="65">
        <f>O148</f>
        <v>411300</v>
      </c>
      <c r="P187" s="10">
        <f>Assumptions!$D$8</f>
        <v>914</v>
      </c>
      <c r="Q187" s="51">
        <f>O187/P187</f>
        <v>450</v>
      </c>
    </row>
    <row r="188" spans="1:17" x14ac:dyDescent="0.2">
      <c r="A188" s="20" t="s">
        <v>60</v>
      </c>
      <c r="B188" s="23">
        <v>60</v>
      </c>
      <c r="C188" s="88">
        <f>C126</f>
        <v>95555.694486789624</v>
      </c>
      <c r="D188" s="33">
        <f>Assumptions!$D$4</f>
        <v>376</v>
      </c>
      <c r="E188" s="90">
        <f>C188/D188</f>
        <v>254.13748533720644</v>
      </c>
      <c r="F188" s="83">
        <f>F126</f>
        <v>108219.70218985813</v>
      </c>
      <c r="G188" s="36">
        <f>Assumptions!$D$5</f>
        <v>602</v>
      </c>
      <c r="H188" s="48">
        <f>F188/G188</f>
        <v>179.76694715923279</v>
      </c>
      <c r="I188" s="77">
        <f>I126</f>
        <v>146376.19293157101</v>
      </c>
      <c r="J188" s="37">
        <f>Assumptions!$D$6</f>
        <v>738</v>
      </c>
      <c r="K188" s="92">
        <f>I188/J188</f>
        <v>198.34172483952713</v>
      </c>
      <c r="L188" s="73">
        <f>L126</f>
        <v>182065.66918567318</v>
      </c>
      <c r="M188" s="38">
        <f>Assumptions!$D$7</f>
        <v>914</v>
      </c>
      <c r="N188" s="93">
        <f>L188/M188</f>
        <v>199.19657460139297</v>
      </c>
      <c r="O188" s="66">
        <f>O126</f>
        <v>212492.18119953905</v>
      </c>
      <c r="P188" s="10">
        <f>Assumptions!$D$8</f>
        <v>914</v>
      </c>
      <c r="Q188" s="94">
        <f>O188/P188</f>
        <v>232.48597505420028</v>
      </c>
    </row>
    <row r="189" spans="1:17" x14ac:dyDescent="0.2">
      <c r="A189" s="20" t="s">
        <v>108</v>
      </c>
      <c r="B189" s="23"/>
      <c r="C189" s="85">
        <f>C187-C188</f>
        <v>167644.30551321036</v>
      </c>
      <c r="D189" s="33">
        <f>Assumptions!$D$4</f>
        <v>376</v>
      </c>
      <c r="E189" s="47">
        <f>C189/D189</f>
        <v>445.8625146627935</v>
      </c>
      <c r="F189" s="82">
        <f>F187-F188</f>
        <v>268030.29781014187</v>
      </c>
      <c r="G189" s="36">
        <f>Assumptions!$D$5</f>
        <v>602</v>
      </c>
      <c r="H189" s="48">
        <f>F189/G189</f>
        <v>445.23305284076724</v>
      </c>
      <c r="I189" s="76">
        <f>I187-I188</f>
        <v>296423.80706842896</v>
      </c>
      <c r="J189" s="37">
        <f>Assumptions!$D$6</f>
        <v>738</v>
      </c>
      <c r="K189" s="49">
        <f>I189/J189</f>
        <v>401.65827516047284</v>
      </c>
      <c r="L189" s="72">
        <f>L187-L188</f>
        <v>229234.33081432682</v>
      </c>
      <c r="M189" s="38">
        <f>Assumptions!$D$7</f>
        <v>914</v>
      </c>
      <c r="N189" s="50">
        <f>L189/M189</f>
        <v>250.80342539860703</v>
      </c>
      <c r="O189" s="65">
        <f>O187-O188</f>
        <v>198807.81880046095</v>
      </c>
      <c r="P189" s="10">
        <f>Assumptions!$D$8</f>
        <v>914</v>
      </c>
      <c r="Q189" s="51">
        <f>O189/P189</f>
        <v>217.51402494579972</v>
      </c>
    </row>
    <row r="190" spans="1:17" s="20" customFormat="1" x14ac:dyDescent="0.2">
      <c r="A190" s="20" t="s">
        <v>62</v>
      </c>
      <c r="B190" s="43"/>
      <c r="C190" s="123">
        <f>Assumptions!G27</f>
        <v>51992.528000000006</v>
      </c>
      <c r="D190" s="124">
        <f>Assumptions!$D$4</f>
        <v>376</v>
      </c>
      <c r="E190" s="125">
        <f>C190/D190</f>
        <v>138.27800000000002</v>
      </c>
      <c r="F190" s="121">
        <f>Assumptions!G28</f>
        <v>84942.200000000012</v>
      </c>
      <c r="G190" s="122">
        <f>Assumptions!$D$5</f>
        <v>602</v>
      </c>
      <c r="H190" s="120">
        <f>F190/G190</f>
        <v>141.10000000000002</v>
      </c>
      <c r="I190" s="117">
        <f>Assumptions!G29</f>
        <v>99966.527999999991</v>
      </c>
      <c r="J190" s="118">
        <f>Assumptions!$D$6</f>
        <v>738</v>
      </c>
      <c r="K190" s="119">
        <f>I190/J190</f>
        <v>135.45599999999999</v>
      </c>
      <c r="L190" s="114">
        <f>Assumptions!G30</f>
        <v>92855.088000000003</v>
      </c>
      <c r="M190" s="115">
        <f>Assumptions!$D$7</f>
        <v>914</v>
      </c>
      <c r="N190" s="116">
        <f>L190/M190</f>
        <v>101.592</v>
      </c>
      <c r="O190" s="112">
        <f>Assumptions!G31</f>
        <v>92855.088000000003</v>
      </c>
      <c r="P190" s="11">
        <f>Assumptions!$D$8</f>
        <v>914</v>
      </c>
      <c r="Q190" s="113">
        <f>O190/P190</f>
        <v>101.592</v>
      </c>
    </row>
    <row r="191" spans="1:17" s="20" customFormat="1" x14ac:dyDescent="0.2">
      <c r="A191" s="20" t="s">
        <v>63</v>
      </c>
      <c r="B191" s="43"/>
      <c r="C191" s="123">
        <f>C189-C190</f>
        <v>115651.77751321036</v>
      </c>
      <c r="D191" s="124">
        <f>Assumptions!$D$4</f>
        <v>376</v>
      </c>
      <c r="E191" s="125">
        <f>C191/D191</f>
        <v>307.58451466279348</v>
      </c>
      <c r="F191" s="121">
        <f>F189-F190</f>
        <v>183088.09781014186</v>
      </c>
      <c r="G191" s="122">
        <f>Assumptions!$D$5</f>
        <v>602</v>
      </c>
      <c r="H191" s="120">
        <f>F191/G191</f>
        <v>304.13305284076722</v>
      </c>
      <c r="I191" s="117">
        <f>I189-I190</f>
        <v>196457.27906842896</v>
      </c>
      <c r="J191" s="118">
        <f>Assumptions!$D$6</f>
        <v>738</v>
      </c>
      <c r="K191" s="119">
        <f>I191/J191</f>
        <v>266.20227516047288</v>
      </c>
      <c r="L191" s="114">
        <f>L189-L190</f>
        <v>136379.24281432683</v>
      </c>
      <c r="M191" s="115">
        <f>Assumptions!$D$7</f>
        <v>914</v>
      </c>
      <c r="N191" s="116">
        <f>L191/M191</f>
        <v>149.21142539860705</v>
      </c>
      <c r="O191" s="112">
        <f>O189-O190</f>
        <v>105952.73080046095</v>
      </c>
      <c r="P191" s="11">
        <f>Assumptions!$D$8</f>
        <v>914</v>
      </c>
      <c r="Q191" s="113">
        <f>O191/P191</f>
        <v>115.92202494579973</v>
      </c>
    </row>
    <row r="192" spans="1:17" x14ac:dyDescent="0.2">
      <c r="D192" s="2"/>
      <c r="G192" s="12"/>
      <c r="J192" s="2"/>
      <c r="M192" s="12"/>
      <c r="P192" s="12"/>
    </row>
    <row r="193" spans="1:17" x14ac:dyDescent="0.2">
      <c r="D193" s="2"/>
      <c r="G193" s="12"/>
      <c r="J193" s="2"/>
      <c r="M193" s="12"/>
      <c r="P193" s="12"/>
    </row>
    <row r="194" spans="1:17" x14ac:dyDescent="0.2">
      <c r="A194" s="20" t="s">
        <v>113</v>
      </c>
      <c r="B194" s="20"/>
      <c r="D194" s="2"/>
      <c r="G194" s="12"/>
      <c r="J194" s="2"/>
      <c r="M194" s="12"/>
      <c r="P194" s="12"/>
    </row>
    <row r="195" spans="1:17" x14ac:dyDescent="0.2">
      <c r="D195" s="2"/>
      <c r="G195" s="12"/>
      <c r="J195" s="2"/>
      <c r="M195" s="12"/>
      <c r="P195" s="12"/>
    </row>
    <row r="196" spans="1:17" x14ac:dyDescent="0.2">
      <c r="A196" s="20" t="s">
        <v>109</v>
      </c>
      <c r="G196" s="12"/>
      <c r="J196" s="14"/>
      <c r="M196" s="12"/>
      <c r="P196" s="12"/>
    </row>
    <row r="197" spans="1:17" s="9" customFormat="1" x14ac:dyDescent="0.2">
      <c r="B197" s="22"/>
      <c r="C197" s="375" t="s">
        <v>70</v>
      </c>
      <c r="D197" s="375"/>
      <c r="E197" s="376"/>
      <c r="F197" s="377" t="s">
        <v>71</v>
      </c>
      <c r="G197" s="377"/>
      <c r="H197" s="378"/>
      <c r="I197" s="379" t="s">
        <v>72</v>
      </c>
      <c r="J197" s="380"/>
      <c r="K197" s="381"/>
      <c r="L197" s="369" t="s">
        <v>73</v>
      </c>
      <c r="M197" s="370"/>
      <c r="N197" s="371"/>
      <c r="O197" s="372" t="s">
        <v>74</v>
      </c>
      <c r="P197" s="373"/>
      <c r="Q197" s="374"/>
    </row>
    <row r="198" spans="1:17" s="9" customFormat="1" x14ac:dyDescent="0.2">
      <c r="B198" s="22" t="s">
        <v>55</v>
      </c>
      <c r="C198" s="84" t="s">
        <v>87</v>
      </c>
      <c r="D198" s="32" t="s">
        <v>114</v>
      </c>
      <c r="E198" s="53" t="s">
        <v>88</v>
      </c>
      <c r="F198" s="78" t="s">
        <v>87</v>
      </c>
      <c r="G198" s="34" t="s">
        <v>114</v>
      </c>
      <c r="H198" s="57" t="s">
        <v>88</v>
      </c>
      <c r="I198" s="74" t="s">
        <v>87</v>
      </c>
      <c r="J198" s="26" t="s">
        <v>114</v>
      </c>
      <c r="K198" s="58" t="s">
        <v>88</v>
      </c>
      <c r="L198" s="70" t="s">
        <v>87</v>
      </c>
      <c r="M198" s="28" t="s">
        <v>114</v>
      </c>
      <c r="N198" s="60" t="s">
        <v>88</v>
      </c>
      <c r="O198" s="63" t="s">
        <v>87</v>
      </c>
      <c r="P198" s="30" t="s">
        <v>114</v>
      </c>
      <c r="Q198" s="61" t="s">
        <v>88</v>
      </c>
    </row>
    <row r="199" spans="1:17" x14ac:dyDescent="0.2">
      <c r="A199" s="20" t="s">
        <v>67</v>
      </c>
      <c r="B199" s="23"/>
      <c r="C199" s="85">
        <f>C59</f>
        <v>205527.27272727274</v>
      </c>
      <c r="D199" s="33">
        <f>Assumptions!$D$4</f>
        <v>376</v>
      </c>
      <c r="E199" s="47">
        <f>C199/D199</f>
        <v>546.61508704061896</v>
      </c>
      <c r="F199" s="82">
        <f>F59</f>
        <v>228000</v>
      </c>
      <c r="G199" s="36">
        <f>Assumptions!$D$5</f>
        <v>602</v>
      </c>
      <c r="H199" s="48">
        <f>F199/G199</f>
        <v>378.73754152823921</v>
      </c>
      <c r="I199" s="76">
        <f>I59</f>
        <v>295418.18181818182</v>
      </c>
      <c r="J199" s="37">
        <f>Assumptions!$D$6</f>
        <v>738</v>
      </c>
      <c r="K199" s="49">
        <f>I199/J199</f>
        <v>400.29563932002958</v>
      </c>
      <c r="L199" s="72">
        <f>L59</f>
        <v>358472.72727272729</v>
      </c>
      <c r="M199" s="38">
        <f>Assumptions!$D$7</f>
        <v>914</v>
      </c>
      <c r="N199" s="50">
        <f>L199/M199</f>
        <v>392.20210861348721</v>
      </c>
      <c r="O199" s="65">
        <f>O59</f>
        <v>412363.63636363635</v>
      </c>
      <c r="P199" s="10">
        <f>Assumptions!$D$8</f>
        <v>914</v>
      </c>
      <c r="Q199" s="51">
        <f>O199/P199</f>
        <v>451.16371593395661</v>
      </c>
    </row>
    <row r="200" spans="1:17" x14ac:dyDescent="0.2">
      <c r="B200" s="23"/>
      <c r="C200" s="85"/>
      <c r="D200" s="33"/>
      <c r="E200" s="47"/>
      <c r="F200" s="82"/>
      <c r="G200" s="36"/>
      <c r="H200" s="48"/>
      <c r="I200" s="76"/>
      <c r="J200" s="126"/>
      <c r="K200" s="49"/>
      <c r="L200" s="72"/>
      <c r="M200" s="38"/>
      <c r="N200" s="50"/>
      <c r="O200" s="65"/>
      <c r="P200" s="10"/>
      <c r="Q200" s="51"/>
    </row>
    <row r="201" spans="1:17" x14ac:dyDescent="0.2">
      <c r="A201" s="20" t="s">
        <v>64</v>
      </c>
      <c r="B201" s="23" t="s">
        <v>53</v>
      </c>
      <c r="C201" s="85">
        <f>C118</f>
        <v>263200</v>
      </c>
      <c r="D201" s="33">
        <f>Assumptions!$D$4</f>
        <v>376</v>
      </c>
      <c r="E201" s="47">
        <f>C201/D201</f>
        <v>700</v>
      </c>
      <c r="F201" s="82">
        <f>F118</f>
        <v>376250</v>
      </c>
      <c r="G201" s="36">
        <f>Assumptions!$D$5</f>
        <v>602</v>
      </c>
      <c r="H201" s="48">
        <f>F201/G201</f>
        <v>625</v>
      </c>
      <c r="I201" s="76">
        <f>I118</f>
        <v>442800</v>
      </c>
      <c r="J201" s="37">
        <f>Assumptions!$D$6</f>
        <v>738</v>
      </c>
      <c r="K201" s="49">
        <f>I201/J201</f>
        <v>600</v>
      </c>
      <c r="L201" s="72">
        <f>L118</f>
        <v>411300</v>
      </c>
      <c r="M201" s="38">
        <f>Assumptions!$D$7</f>
        <v>914</v>
      </c>
      <c r="N201" s="50">
        <f>L201/M201</f>
        <v>450</v>
      </c>
      <c r="O201" s="65">
        <f>O118</f>
        <v>411300</v>
      </c>
      <c r="P201" s="10">
        <f>Assumptions!$D$8</f>
        <v>914</v>
      </c>
      <c r="Q201" s="51">
        <f>O201/P201</f>
        <v>450</v>
      </c>
    </row>
    <row r="202" spans="1:17" x14ac:dyDescent="0.2">
      <c r="A202" s="20" t="s">
        <v>60</v>
      </c>
      <c r="B202" s="23">
        <v>80</v>
      </c>
      <c r="C202" s="88">
        <f>C127</f>
        <v>154928.50982195494</v>
      </c>
      <c r="D202" s="33">
        <f>Assumptions!$D$4</f>
        <v>376</v>
      </c>
      <c r="E202" s="90">
        <f>C202/D202</f>
        <v>412.04390910094401</v>
      </c>
      <c r="F202" s="83">
        <f>F127</f>
        <v>171868.67597021541</v>
      </c>
      <c r="G202" s="36">
        <f>Assumptions!$D$5</f>
        <v>602</v>
      </c>
      <c r="H202" s="91">
        <f>F202/G202</f>
        <v>285.49613948540764</v>
      </c>
      <c r="I202" s="77">
        <f>I127</f>
        <v>222689.17441499684</v>
      </c>
      <c r="J202" s="37">
        <f>Assumptions!$D$6</f>
        <v>738</v>
      </c>
      <c r="K202" s="92">
        <f>I202/J202</f>
        <v>301.74684880080872</v>
      </c>
      <c r="L202" s="73">
        <f>L127</f>
        <v>270220.32020963053</v>
      </c>
      <c r="M202" s="38">
        <f>Assumptions!$D$7</f>
        <v>914</v>
      </c>
      <c r="N202" s="93">
        <f>L202/M202</f>
        <v>295.645864561959</v>
      </c>
      <c r="O202" s="66">
        <f>O127</f>
        <v>310843.82543895417</v>
      </c>
      <c r="P202" s="10">
        <f>Assumptions!$D$8</f>
        <v>914</v>
      </c>
      <c r="Q202" s="94">
        <f>O202/P202</f>
        <v>340.09171273408555</v>
      </c>
    </row>
    <row r="203" spans="1:17" x14ac:dyDescent="0.2">
      <c r="A203" s="20" t="s">
        <v>108</v>
      </c>
      <c r="B203" s="23"/>
      <c r="C203" s="85">
        <f>C201-C202</f>
        <v>108271.49017804506</v>
      </c>
      <c r="D203" s="33">
        <f>Assumptions!$D$4</f>
        <v>376</v>
      </c>
      <c r="E203" s="47">
        <f>C203/D203</f>
        <v>287.95609089905599</v>
      </c>
      <c r="F203" s="82">
        <f>F201-F202</f>
        <v>204381.32402978459</v>
      </c>
      <c r="G203" s="36">
        <f>Assumptions!$D$5</f>
        <v>602</v>
      </c>
      <c r="H203" s="48">
        <f>F203/G203</f>
        <v>339.50386051459236</v>
      </c>
      <c r="I203" s="76">
        <f>I201-I202</f>
        <v>220110.82558500316</v>
      </c>
      <c r="J203" s="37">
        <f>Assumptions!$D$6</f>
        <v>738</v>
      </c>
      <c r="K203" s="49">
        <f>I203/J203</f>
        <v>298.25315119919128</v>
      </c>
      <c r="L203" s="72">
        <f>L201-L202</f>
        <v>141079.67979036947</v>
      </c>
      <c r="M203" s="38">
        <f>Assumptions!$D$7</f>
        <v>914</v>
      </c>
      <c r="N203" s="50">
        <f>L203/M203</f>
        <v>154.354135438041</v>
      </c>
      <c r="O203" s="65">
        <f>O201-O202</f>
        <v>100456.17456104583</v>
      </c>
      <c r="P203" s="10">
        <f>Assumptions!$D$8</f>
        <v>914</v>
      </c>
      <c r="Q203" s="51">
        <f>O203/P203</f>
        <v>109.90828726591448</v>
      </c>
    </row>
    <row r="204" spans="1:17" s="20" customFormat="1" x14ac:dyDescent="0.2">
      <c r="A204" s="20" t="s">
        <v>62</v>
      </c>
      <c r="B204" s="43"/>
      <c r="C204" s="123">
        <v>0</v>
      </c>
      <c r="D204" s="124">
        <f>Assumptions!$D$4</f>
        <v>376</v>
      </c>
      <c r="E204" s="125">
        <f>C204/D204</f>
        <v>0</v>
      </c>
      <c r="F204" s="121">
        <v>0</v>
      </c>
      <c r="G204" s="122">
        <f>Assumptions!$D$5</f>
        <v>602</v>
      </c>
      <c r="H204" s="120">
        <f>F204/G204</f>
        <v>0</v>
      </c>
      <c r="I204" s="117">
        <v>0</v>
      </c>
      <c r="J204" s="118">
        <f>Assumptions!$D$6</f>
        <v>738</v>
      </c>
      <c r="K204" s="119">
        <f>I204/J204</f>
        <v>0</v>
      </c>
      <c r="L204" s="114">
        <v>0</v>
      </c>
      <c r="M204" s="115">
        <f>Assumptions!$D$7</f>
        <v>914</v>
      </c>
      <c r="N204" s="116">
        <f>L204/M204</f>
        <v>0</v>
      </c>
      <c r="O204" s="112">
        <v>0</v>
      </c>
      <c r="P204" s="11">
        <f>Assumptions!$D$8</f>
        <v>914</v>
      </c>
      <c r="Q204" s="113">
        <f>O204/P204</f>
        <v>0</v>
      </c>
    </row>
    <row r="205" spans="1:17" s="20" customFormat="1" x14ac:dyDescent="0.2">
      <c r="A205" s="20" t="s">
        <v>65</v>
      </c>
      <c r="B205" s="43"/>
      <c r="C205" s="123">
        <f>C203-C204</f>
        <v>108271.49017804506</v>
      </c>
      <c r="D205" s="124">
        <f>Assumptions!$D$4</f>
        <v>376</v>
      </c>
      <c r="E205" s="125">
        <f>C205/D205</f>
        <v>287.95609089905599</v>
      </c>
      <c r="F205" s="121">
        <f>F203-F204</f>
        <v>204381.32402978459</v>
      </c>
      <c r="G205" s="122">
        <f>Assumptions!$D$5</f>
        <v>602</v>
      </c>
      <c r="H205" s="120">
        <f>F205/G205</f>
        <v>339.50386051459236</v>
      </c>
      <c r="I205" s="117">
        <f>I203-I204</f>
        <v>220110.82558500316</v>
      </c>
      <c r="J205" s="118">
        <f>Assumptions!$D$6</f>
        <v>738</v>
      </c>
      <c r="K205" s="119">
        <f>I205/J205</f>
        <v>298.25315119919128</v>
      </c>
      <c r="L205" s="114">
        <f>L203-L204</f>
        <v>141079.67979036947</v>
      </c>
      <c r="M205" s="115">
        <f>Assumptions!$D$7</f>
        <v>914</v>
      </c>
      <c r="N205" s="116">
        <f>L205/M205</f>
        <v>154.354135438041</v>
      </c>
      <c r="O205" s="112">
        <f>O203-O204</f>
        <v>100456.17456104583</v>
      </c>
      <c r="P205" s="11">
        <f>Assumptions!$D$8</f>
        <v>914</v>
      </c>
      <c r="Q205" s="113">
        <f>O205/P205</f>
        <v>109.90828726591448</v>
      </c>
    </row>
    <row r="206" spans="1:17" x14ac:dyDescent="0.2">
      <c r="G206" s="12"/>
      <c r="J206" s="14"/>
      <c r="M206" s="12"/>
      <c r="P206" s="12"/>
    </row>
    <row r="207" spans="1:17" x14ac:dyDescent="0.2">
      <c r="A207" s="20" t="s">
        <v>110</v>
      </c>
      <c r="G207" s="12"/>
      <c r="J207" s="14"/>
      <c r="M207" s="12"/>
      <c r="P207" s="12"/>
    </row>
    <row r="208" spans="1:17" s="9" customFormat="1" x14ac:dyDescent="0.2">
      <c r="B208" s="22"/>
      <c r="C208" s="375" t="s">
        <v>70</v>
      </c>
      <c r="D208" s="375"/>
      <c r="E208" s="376"/>
      <c r="F208" s="377" t="s">
        <v>71</v>
      </c>
      <c r="G208" s="377"/>
      <c r="H208" s="378"/>
      <c r="I208" s="379" t="s">
        <v>72</v>
      </c>
      <c r="J208" s="380"/>
      <c r="K208" s="381"/>
      <c r="L208" s="369" t="s">
        <v>73</v>
      </c>
      <c r="M208" s="370"/>
      <c r="N208" s="371"/>
      <c r="O208" s="372" t="s">
        <v>74</v>
      </c>
      <c r="P208" s="373"/>
      <c r="Q208" s="374"/>
    </row>
    <row r="209" spans="1:17" s="9" customFormat="1" x14ac:dyDescent="0.2">
      <c r="B209" s="22" t="s">
        <v>55</v>
      </c>
      <c r="C209" s="84" t="s">
        <v>87</v>
      </c>
      <c r="D209" s="32" t="s">
        <v>114</v>
      </c>
      <c r="E209" s="53" t="s">
        <v>88</v>
      </c>
      <c r="F209" s="78" t="s">
        <v>87</v>
      </c>
      <c r="G209" s="34" t="s">
        <v>114</v>
      </c>
      <c r="H209" s="57" t="s">
        <v>88</v>
      </c>
      <c r="I209" s="74" t="s">
        <v>87</v>
      </c>
      <c r="J209" s="26" t="s">
        <v>114</v>
      </c>
      <c r="K209" s="58" t="s">
        <v>88</v>
      </c>
      <c r="L209" s="70" t="s">
        <v>87</v>
      </c>
      <c r="M209" s="28" t="s">
        <v>114</v>
      </c>
      <c r="N209" s="60" t="s">
        <v>88</v>
      </c>
      <c r="O209" s="63" t="s">
        <v>87</v>
      </c>
      <c r="P209" s="30" t="s">
        <v>114</v>
      </c>
      <c r="Q209" s="61" t="s">
        <v>88</v>
      </c>
    </row>
    <row r="210" spans="1:17" x14ac:dyDescent="0.2">
      <c r="A210" s="20" t="s">
        <v>67</v>
      </c>
      <c r="B210" s="23"/>
      <c r="C210" s="85">
        <f>C60</f>
        <v>206618.18181818182</v>
      </c>
      <c r="D210" s="33">
        <f>Assumptions!$D$4</f>
        <v>376</v>
      </c>
      <c r="E210" s="47">
        <f>C210/D210</f>
        <v>549.51644100580268</v>
      </c>
      <c r="F210" s="82">
        <f>F60</f>
        <v>229090.90909090912</v>
      </c>
      <c r="G210" s="36">
        <f>Assumptions!$D$5</f>
        <v>602</v>
      </c>
      <c r="H210" s="48">
        <f>F210/G210</f>
        <v>380.5496828752643</v>
      </c>
      <c r="I210" s="76">
        <f>I60</f>
        <v>296727.27272727271</v>
      </c>
      <c r="J210" s="37">
        <f>Assumptions!$D$6</f>
        <v>738</v>
      </c>
      <c r="K210" s="49">
        <f>I210/J210</f>
        <v>402.06947524020694</v>
      </c>
      <c r="L210" s="72">
        <f>L60</f>
        <v>360000</v>
      </c>
      <c r="M210" s="38">
        <f>Assumptions!$D$7</f>
        <v>914</v>
      </c>
      <c r="N210" s="50">
        <f>L210/M210</f>
        <v>393.87308533916848</v>
      </c>
      <c r="O210" s="65">
        <f>O60</f>
        <v>414109.09090909094</v>
      </c>
      <c r="P210" s="10">
        <f>Assumptions!$D$8</f>
        <v>914</v>
      </c>
      <c r="Q210" s="51">
        <f>O210/P210</f>
        <v>453.0734036204496</v>
      </c>
    </row>
    <row r="211" spans="1:17" x14ac:dyDescent="0.2">
      <c r="B211" s="23"/>
      <c r="C211" s="85"/>
      <c r="D211" s="33"/>
      <c r="E211" s="47"/>
      <c r="F211" s="82"/>
      <c r="G211" s="36"/>
      <c r="H211" s="48"/>
      <c r="I211" s="76"/>
      <c r="J211" s="126"/>
      <c r="K211" s="49"/>
      <c r="L211" s="72"/>
      <c r="M211" s="38"/>
      <c r="N211" s="50"/>
      <c r="O211" s="65"/>
      <c r="P211" s="10"/>
      <c r="Q211" s="51"/>
    </row>
    <row r="212" spans="1:17" x14ac:dyDescent="0.2">
      <c r="A212" s="20" t="s">
        <v>64</v>
      </c>
      <c r="B212" s="23" t="s">
        <v>53</v>
      </c>
      <c r="C212" s="85">
        <f>C118</f>
        <v>263200</v>
      </c>
      <c r="D212" s="33">
        <f>Assumptions!$D$4</f>
        <v>376</v>
      </c>
      <c r="E212" s="47">
        <f>C212/D212</f>
        <v>700</v>
      </c>
      <c r="F212" s="82">
        <f>F118</f>
        <v>376250</v>
      </c>
      <c r="G212" s="36">
        <f>Assumptions!$D$5</f>
        <v>602</v>
      </c>
      <c r="H212" s="48">
        <f>F212/G212</f>
        <v>625</v>
      </c>
      <c r="I212" s="76">
        <f>I118</f>
        <v>442800</v>
      </c>
      <c r="J212" s="37">
        <f>Assumptions!$D$6</f>
        <v>738</v>
      </c>
      <c r="K212" s="49">
        <f>I212/J212</f>
        <v>600</v>
      </c>
      <c r="L212" s="72">
        <f>L118</f>
        <v>411300</v>
      </c>
      <c r="M212" s="38">
        <f>Assumptions!$D$7</f>
        <v>914</v>
      </c>
      <c r="N212" s="50">
        <f>L212/M212</f>
        <v>450</v>
      </c>
      <c r="O212" s="65">
        <f>O118</f>
        <v>411300</v>
      </c>
      <c r="P212" s="10">
        <f>Assumptions!$D$8</f>
        <v>914</v>
      </c>
      <c r="Q212" s="51">
        <f>O212/P212</f>
        <v>450</v>
      </c>
    </row>
    <row r="213" spans="1:17" x14ac:dyDescent="0.2">
      <c r="A213" s="20" t="s">
        <v>60</v>
      </c>
      <c r="B213" s="23">
        <v>100</v>
      </c>
      <c r="C213" s="88">
        <f>C128</f>
        <v>155750.84798449188</v>
      </c>
      <c r="D213" s="33">
        <f>Assumptions!$D$4</f>
        <v>376</v>
      </c>
      <c r="E213" s="90">
        <f>C213/D213</f>
        <v>414.23097868215922</v>
      </c>
      <c r="F213" s="83">
        <f>F128</f>
        <v>172691.01413275232</v>
      </c>
      <c r="G213" s="36">
        <f>Assumptions!$D$5</f>
        <v>602</v>
      </c>
      <c r="H213" s="91">
        <f>F213/G213</f>
        <v>286.86214972217994</v>
      </c>
      <c r="I213" s="77">
        <f>I128</f>
        <v>223675.98021004113</v>
      </c>
      <c r="J213" s="37">
        <f>Assumptions!$D$6</f>
        <v>738</v>
      </c>
      <c r="K213" s="92">
        <f>I213/J213</f>
        <v>303.08398402444595</v>
      </c>
      <c r="L213" s="73">
        <f>L128</f>
        <v>271371.5936371822</v>
      </c>
      <c r="M213" s="38">
        <f>Assumptions!$D$7</f>
        <v>914</v>
      </c>
      <c r="N213" s="93">
        <f>L213/M213</f>
        <v>296.90546349801116</v>
      </c>
      <c r="O213" s="66">
        <f>O128</f>
        <v>312159.56649901328</v>
      </c>
      <c r="P213" s="10">
        <f>Assumptions!$D$8</f>
        <v>914</v>
      </c>
      <c r="Q213" s="94">
        <f>O213/P213</f>
        <v>341.53125437528803</v>
      </c>
    </row>
    <row r="214" spans="1:17" x14ac:dyDescent="0.2">
      <c r="A214" s="20" t="s">
        <v>108</v>
      </c>
      <c r="B214" s="23"/>
      <c r="C214" s="85">
        <f>C212-C213</f>
        <v>107449.15201550812</v>
      </c>
      <c r="D214" s="33">
        <f>Assumptions!$D$4</f>
        <v>376</v>
      </c>
      <c r="E214" s="47">
        <f>C214/D214</f>
        <v>285.76902131784078</v>
      </c>
      <c r="F214" s="82">
        <f>F212-F213</f>
        <v>203558.98586724768</v>
      </c>
      <c r="G214" s="36">
        <f>Assumptions!$D$5</f>
        <v>602</v>
      </c>
      <c r="H214" s="48">
        <f>F214/G214</f>
        <v>338.13785027782006</v>
      </c>
      <c r="I214" s="76">
        <f>I212-I213</f>
        <v>219124.01978995887</v>
      </c>
      <c r="J214" s="37">
        <f>Assumptions!$D$6</f>
        <v>738</v>
      </c>
      <c r="K214" s="49">
        <f>I214/J214</f>
        <v>296.91601597555405</v>
      </c>
      <c r="L214" s="72">
        <f>L212-L213</f>
        <v>139928.4063628178</v>
      </c>
      <c r="M214" s="38">
        <f>Assumptions!$D$7</f>
        <v>914</v>
      </c>
      <c r="N214" s="50">
        <f>L214/M214</f>
        <v>153.09453650198884</v>
      </c>
      <c r="O214" s="65">
        <f>O212-O213</f>
        <v>99140.433500986721</v>
      </c>
      <c r="P214" s="10">
        <f>Assumptions!$D$8</f>
        <v>914</v>
      </c>
      <c r="Q214" s="51">
        <f>O214/P214</f>
        <v>108.46874562471194</v>
      </c>
    </row>
    <row r="215" spans="1:17" s="20" customFormat="1" x14ac:dyDescent="0.2">
      <c r="A215" s="20" t="s">
        <v>62</v>
      </c>
      <c r="B215" s="43"/>
      <c r="C215" s="123">
        <v>0</v>
      </c>
      <c r="D215" s="124">
        <f>Assumptions!$D$4</f>
        <v>376</v>
      </c>
      <c r="E215" s="125">
        <f>C215/D215</f>
        <v>0</v>
      </c>
      <c r="F215" s="121">
        <v>0</v>
      </c>
      <c r="G215" s="122">
        <f>Assumptions!$D$5</f>
        <v>602</v>
      </c>
      <c r="H215" s="120">
        <f>F215/G215</f>
        <v>0</v>
      </c>
      <c r="I215" s="117">
        <v>0</v>
      </c>
      <c r="J215" s="118">
        <f>Assumptions!$D$6</f>
        <v>738</v>
      </c>
      <c r="K215" s="119">
        <f>I215/J215</f>
        <v>0</v>
      </c>
      <c r="L215" s="114">
        <v>0</v>
      </c>
      <c r="M215" s="115">
        <f>Assumptions!$D$7</f>
        <v>914</v>
      </c>
      <c r="N215" s="116">
        <f>L215/M215</f>
        <v>0</v>
      </c>
      <c r="O215" s="112">
        <v>0</v>
      </c>
      <c r="P215" s="11">
        <f>Assumptions!$D$8</f>
        <v>914</v>
      </c>
      <c r="Q215" s="113">
        <f>O215/P215</f>
        <v>0</v>
      </c>
    </row>
    <row r="216" spans="1:17" s="20" customFormat="1" x14ac:dyDescent="0.2">
      <c r="A216" s="20" t="s">
        <v>65</v>
      </c>
      <c r="B216" s="43"/>
      <c r="C216" s="123">
        <f>C214-C215</f>
        <v>107449.15201550812</v>
      </c>
      <c r="D216" s="124">
        <f>Assumptions!$D$4</f>
        <v>376</v>
      </c>
      <c r="E216" s="125">
        <f>C216/D216</f>
        <v>285.76902131784078</v>
      </c>
      <c r="F216" s="121">
        <f>F214-F215</f>
        <v>203558.98586724768</v>
      </c>
      <c r="G216" s="122">
        <f>Assumptions!$D$5</f>
        <v>602</v>
      </c>
      <c r="H216" s="120">
        <f>F216/G216</f>
        <v>338.13785027782006</v>
      </c>
      <c r="I216" s="117">
        <f>I214-I215</f>
        <v>219124.01978995887</v>
      </c>
      <c r="J216" s="118">
        <f>Assumptions!$D$6</f>
        <v>738</v>
      </c>
      <c r="K216" s="119">
        <f>I216/J216</f>
        <v>296.91601597555405</v>
      </c>
      <c r="L216" s="114">
        <f>L214-L215</f>
        <v>139928.4063628178</v>
      </c>
      <c r="M216" s="115">
        <f>Assumptions!$D$7</f>
        <v>914</v>
      </c>
      <c r="N216" s="116">
        <f>L216/M216</f>
        <v>153.09453650198884</v>
      </c>
      <c r="O216" s="112">
        <f>O214-O215</f>
        <v>99140.433500986721</v>
      </c>
      <c r="P216" s="11">
        <f>Assumptions!$D$8</f>
        <v>914</v>
      </c>
      <c r="Q216" s="113">
        <f>O216/P216</f>
        <v>108.46874562471194</v>
      </c>
    </row>
    <row r="217" spans="1:17" x14ac:dyDescent="0.2">
      <c r="G217" s="12"/>
      <c r="M217" s="12"/>
      <c r="P217" s="12"/>
    </row>
    <row r="218" spans="1:17" x14ac:dyDescent="0.2">
      <c r="A218" s="20" t="s">
        <v>111</v>
      </c>
      <c r="G218" s="12"/>
      <c r="J218" s="14"/>
      <c r="M218" s="12"/>
      <c r="P218" s="12"/>
    </row>
    <row r="219" spans="1:17" s="9" customFormat="1" x14ac:dyDescent="0.2">
      <c r="B219" s="22"/>
      <c r="C219" s="375" t="s">
        <v>70</v>
      </c>
      <c r="D219" s="375"/>
      <c r="E219" s="376"/>
      <c r="F219" s="377" t="s">
        <v>71</v>
      </c>
      <c r="G219" s="377"/>
      <c r="H219" s="378"/>
      <c r="I219" s="379" t="s">
        <v>72</v>
      </c>
      <c r="J219" s="380"/>
      <c r="K219" s="381"/>
      <c r="L219" s="369" t="s">
        <v>73</v>
      </c>
      <c r="M219" s="370"/>
      <c r="N219" s="371"/>
      <c r="O219" s="372" t="s">
        <v>74</v>
      </c>
      <c r="P219" s="373"/>
      <c r="Q219" s="374"/>
    </row>
    <row r="220" spans="1:17" s="9" customFormat="1" x14ac:dyDescent="0.2">
      <c r="B220" s="22" t="s">
        <v>55</v>
      </c>
      <c r="C220" s="84" t="s">
        <v>87</v>
      </c>
      <c r="D220" s="32" t="s">
        <v>114</v>
      </c>
      <c r="E220" s="53" t="s">
        <v>88</v>
      </c>
      <c r="F220" s="78" t="s">
        <v>87</v>
      </c>
      <c r="G220" s="34" t="s">
        <v>114</v>
      </c>
      <c r="H220" s="57" t="s">
        <v>88</v>
      </c>
      <c r="I220" s="74" t="s">
        <v>87</v>
      </c>
      <c r="J220" s="26" t="s">
        <v>114</v>
      </c>
      <c r="K220" s="58" t="s">
        <v>88</v>
      </c>
      <c r="L220" s="70" t="s">
        <v>87</v>
      </c>
      <c r="M220" s="28" t="s">
        <v>114</v>
      </c>
      <c r="N220" s="60" t="s">
        <v>88</v>
      </c>
      <c r="O220" s="63" t="s">
        <v>87</v>
      </c>
      <c r="P220" s="30" t="s">
        <v>114</v>
      </c>
      <c r="Q220" s="61" t="s">
        <v>88</v>
      </c>
    </row>
    <row r="221" spans="1:17" x14ac:dyDescent="0.2">
      <c r="A221" s="20" t="s">
        <v>67</v>
      </c>
      <c r="B221" s="23"/>
      <c r="C221" s="85">
        <f>C62</f>
        <v>269672.72727272729</v>
      </c>
      <c r="D221" s="33">
        <f>Assumptions!$D$4</f>
        <v>376</v>
      </c>
      <c r="E221" s="47">
        <f>C221/D221</f>
        <v>717.21470019342371</v>
      </c>
      <c r="F221" s="82">
        <f>F62</f>
        <v>296727.27272727271</v>
      </c>
      <c r="G221" s="36">
        <f>Assumptions!$D$5</f>
        <v>602</v>
      </c>
      <c r="H221" s="48">
        <f>F221/G221</f>
        <v>492.90244639081845</v>
      </c>
      <c r="I221" s="76">
        <f>I62</f>
        <v>377890.90909090912</v>
      </c>
      <c r="J221" s="37">
        <f>Assumptions!$D$6</f>
        <v>738</v>
      </c>
      <c r="K221" s="49">
        <f>I221/J221</f>
        <v>512.0473022912048</v>
      </c>
      <c r="L221" s="72">
        <f>L62</f>
        <v>453818.18181818177</v>
      </c>
      <c r="M221" s="38">
        <f>Assumptions!$D$7</f>
        <v>914</v>
      </c>
      <c r="N221" s="50">
        <f>L221/M221</f>
        <v>496.51879848816384</v>
      </c>
      <c r="O221" s="65">
        <f>O62</f>
        <v>518836.36363636365</v>
      </c>
      <c r="P221" s="10">
        <f>Assumptions!$D$8</f>
        <v>914</v>
      </c>
      <c r="Q221" s="51">
        <f>O221/P221</f>
        <v>567.65466481002591</v>
      </c>
    </row>
    <row r="222" spans="1:17" x14ac:dyDescent="0.2">
      <c r="B222" s="23"/>
      <c r="C222" s="85"/>
      <c r="D222" s="33"/>
      <c r="E222" s="47"/>
      <c r="F222" s="82"/>
      <c r="G222" s="36"/>
      <c r="H222" s="48"/>
      <c r="I222" s="76"/>
      <c r="J222" s="126"/>
      <c r="K222" s="49"/>
      <c r="L222" s="72"/>
      <c r="M222" s="72"/>
      <c r="N222" s="50"/>
      <c r="O222" s="65"/>
      <c r="P222" s="10"/>
      <c r="Q222" s="51"/>
    </row>
    <row r="223" spans="1:17" x14ac:dyDescent="0.2">
      <c r="A223" s="20" t="s">
        <v>64</v>
      </c>
      <c r="B223" s="23" t="s">
        <v>53</v>
      </c>
      <c r="C223" s="85">
        <f>C118</f>
        <v>263200</v>
      </c>
      <c r="D223" s="33">
        <f>Assumptions!$D$4</f>
        <v>376</v>
      </c>
      <c r="E223" s="47">
        <f>C223/D223</f>
        <v>700</v>
      </c>
      <c r="F223" s="82">
        <f>F118</f>
        <v>376250</v>
      </c>
      <c r="G223" s="36">
        <f>Assumptions!$D$5</f>
        <v>602</v>
      </c>
      <c r="H223" s="48">
        <f>F223/G223</f>
        <v>625</v>
      </c>
      <c r="I223" s="76">
        <f>I118</f>
        <v>442800</v>
      </c>
      <c r="J223" s="37">
        <f>Assumptions!$D$6</f>
        <v>738</v>
      </c>
      <c r="K223" s="49">
        <f>I223/J223</f>
        <v>600</v>
      </c>
      <c r="L223" s="72">
        <f>L118</f>
        <v>411300</v>
      </c>
      <c r="M223" s="38">
        <f>Assumptions!$D$7</f>
        <v>914</v>
      </c>
      <c r="N223" s="50">
        <f>L223/M223</f>
        <v>450</v>
      </c>
      <c r="O223" s="65">
        <f>O118</f>
        <v>411300</v>
      </c>
      <c r="P223" s="10">
        <f>Assumptions!$D$8</f>
        <v>914</v>
      </c>
      <c r="Q223" s="51">
        <f>O223/P223</f>
        <v>450</v>
      </c>
    </row>
    <row r="224" spans="1:17" x14ac:dyDescent="0.2">
      <c r="A224" s="20" t="s">
        <v>60</v>
      </c>
      <c r="B224" s="23">
        <v>120</v>
      </c>
      <c r="C224" s="88">
        <f>C130</f>
        <v>203281.99377912557</v>
      </c>
      <c r="D224" s="33">
        <f>Assumptions!$D$4</f>
        <v>376</v>
      </c>
      <c r="E224" s="90">
        <f>C224/D224</f>
        <v>540.64360047639775</v>
      </c>
      <c r="F224" s="83">
        <f>F130</f>
        <v>223675.98021004113</v>
      </c>
      <c r="G224" s="36">
        <f>Assumptions!$D$5</f>
        <v>602</v>
      </c>
      <c r="H224" s="91">
        <f>F224/G224</f>
        <v>371.55478440206167</v>
      </c>
      <c r="I224" s="77">
        <f>I130</f>
        <v>284857.93950278772</v>
      </c>
      <c r="J224" s="37">
        <f>Assumptions!$D$6</f>
        <v>738</v>
      </c>
      <c r="K224" s="92">
        <f>I224/J224</f>
        <v>385.98636788995628</v>
      </c>
      <c r="L224" s="73">
        <f>L130</f>
        <v>342092.675615357</v>
      </c>
      <c r="M224" s="38">
        <f>Assumptions!$D$7</f>
        <v>914</v>
      </c>
      <c r="N224" s="93">
        <f>L224/M224</f>
        <v>374.2808267126444</v>
      </c>
      <c r="O224" s="65">
        <f>O130</f>
        <v>391104.03010255715</v>
      </c>
      <c r="P224" s="10">
        <f>Assumptions!$D$8</f>
        <v>914</v>
      </c>
      <c r="Q224" s="94">
        <f>O224/P224</f>
        <v>427.90375284743669</v>
      </c>
    </row>
    <row r="225" spans="1:17" x14ac:dyDescent="0.2">
      <c r="A225" s="20" t="s">
        <v>108</v>
      </c>
      <c r="B225" s="23"/>
      <c r="C225" s="85">
        <f>C223-C224</f>
        <v>59918.006220874435</v>
      </c>
      <c r="D225" s="33">
        <f>Assumptions!$D$4</f>
        <v>376</v>
      </c>
      <c r="E225" s="47">
        <f>C225/D225</f>
        <v>159.35639952360222</v>
      </c>
      <c r="F225" s="82">
        <f>F223-F224</f>
        <v>152574.01978995887</v>
      </c>
      <c r="G225" s="36">
        <f>Assumptions!$D$5</f>
        <v>602</v>
      </c>
      <c r="H225" s="48">
        <f>F225/G225</f>
        <v>253.44521559793833</v>
      </c>
      <c r="I225" s="76">
        <f>I223-I224</f>
        <v>157942.06049721228</v>
      </c>
      <c r="J225" s="37">
        <f>Assumptions!$D$6</f>
        <v>738</v>
      </c>
      <c r="K225" s="49">
        <f>I225/J225</f>
        <v>214.01363211004374</v>
      </c>
      <c r="L225" s="72">
        <f>L223-L224</f>
        <v>69207.324384642998</v>
      </c>
      <c r="M225" s="38">
        <f>Assumptions!$D$7</f>
        <v>914</v>
      </c>
      <c r="N225" s="50">
        <f>L225/M225</f>
        <v>75.719173287355574</v>
      </c>
      <c r="O225" s="65">
        <f>O223-O224</f>
        <v>20195.969897442847</v>
      </c>
      <c r="P225" s="10">
        <f>Assumptions!$D$8</f>
        <v>914</v>
      </c>
      <c r="Q225" s="51">
        <f>O225/P225</f>
        <v>22.09624715256329</v>
      </c>
    </row>
    <row r="226" spans="1:17" s="20" customFormat="1" x14ac:dyDescent="0.2">
      <c r="A226" s="20" t="s">
        <v>62</v>
      </c>
      <c r="B226" s="43"/>
      <c r="C226" s="123">
        <v>0</v>
      </c>
      <c r="D226" s="124">
        <f>Assumptions!$D$4</f>
        <v>376</v>
      </c>
      <c r="E226" s="125">
        <f>C226/D226</f>
        <v>0</v>
      </c>
      <c r="F226" s="121">
        <v>0</v>
      </c>
      <c r="G226" s="122">
        <f>Assumptions!$D$5</f>
        <v>602</v>
      </c>
      <c r="H226" s="120">
        <f>F226/G226</f>
        <v>0</v>
      </c>
      <c r="I226" s="117">
        <v>0</v>
      </c>
      <c r="J226" s="118">
        <f>Assumptions!$D$6</f>
        <v>738</v>
      </c>
      <c r="K226" s="119">
        <f>I226/J226</f>
        <v>0</v>
      </c>
      <c r="L226" s="114">
        <v>0</v>
      </c>
      <c r="M226" s="115">
        <f>Assumptions!$D$7</f>
        <v>914</v>
      </c>
      <c r="N226" s="116">
        <f>L226/M226</f>
        <v>0</v>
      </c>
      <c r="O226" s="112">
        <v>0</v>
      </c>
      <c r="P226" s="11">
        <f>Assumptions!$D$8</f>
        <v>914</v>
      </c>
      <c r="Q226" s="113">
        <f>O226/P226</f>
        <v>0</v>
      </c>
    </row>
    <row r="227" spans="1:17" s="20" customFormat="1" x14ac:dyDescent="0.2">
      <c r="A227" s="20" t="s">
        <v>65</v>
      </c>
      <c r="B227" s="43"/>
      <c r="C227" s="123">
        <f>C225-C226</f>
        <v>59918.006220874435</v>
      </c>
      <c r="D227" s="124">
        <f>Assumptions!$D$4</f>
        <v>376</v>
      </c>
      <c r="E227" s="125">
        <f>C227/D227</f>
        <v>159.35639952360222</v>
      </c>
      <c r="F227" s="121">
        <f>F225-F226</f>
        <v>152574.01978995887</v>
      </c>
      <c r="G227" s="122">
        <f>Assumptions!$D$5</f>
        <v>602</v>
      </c>
      <c r="H227" s="120">
        <f>F227/G227</f>
        <v>253.44521559793833</v>
      </c>
      <c r="I227" s="117">
        <f>I225-I226</f>
        <v>157942.06049721228</v>
      </c>
      <c r="J227" s="118">
        <f>Assumptions!$D$6</f>
        <v>738</v>
      </c>
      <c r="K227" s="119">
        <f>I227/J227</f>
        <v>214.01363211004374</v>
      </c>
      <c r="L227" s="114">
        <f>L225-L226</f>
        <v>69207.324384642998</v>
      </c>
      <c r="M227" s="115">
        <f>Assumptions!$D$7</f>
        <v>914</v>
      </c>
      <c r="N227" s="116">
        <f>L227/M227</f>
        <v>75.719173287355574</v>
      </c>
      <c r="O227" s="112">
        <f>O225-O226</f>
        <v>20195.969897442847</v>
      </c>
      <c r="P227" s="11">
        <f>Assumptions!$D$8</f>
        <v>914</v>
      </c>
      <c r="Q227" s="113">
        <f>O227/P227</f>
        <v>22.09624715256329</v>
      </c>
    </row>
    <row r="228" spans="1:17" customFormat="1" x14ac:dyDescent="0.2"/>
    <row r="229" spans="1:17" x14ac:dyDescent="0.2">
      <c r="A229" s="20" t="s">
        <v>112</v>
      </c>
    </row>
    <row r="230" spans="1:17" s="9" customFormat="1" x14ac:dyDescent="0.2">
      <c r="B230" s="22"/>
      <c r="C230" s="375" t="s">
        <v>70</v>
      </c>
      <c r="D230" s="375"/>
      <c r="E230" s="376"/>
      <c r="F230" s="377" t="s">
        <v>71</v>
      </c>
      <c r="G230" s="377"/>
      <c r="H230" s="378"/>
      <c r="I230" s="379" t="s">
        <v>72</v>
      </c>
      <c r="J230" s="380"/>
      <c r="K230" s="381"/>
      <c r="L230" s="369" t="s">
        <v>73</v>
      </c>
      <c r="M230" s="370"/>
      <c r="N230" s="371"/>
      <c r="O230" s="372" t="s">
        <v>74</v>
      </c>
      <c r="P230" s="373"/>
      <c r="Q230" s="374"/>
    </row>
    <row r="231" spans="1:17" s="9" customFormat="1" x14ac:dyDescent="0.2">
      <c r="B231" s="22" t="s">
        <v>55</v>
      </c>
      <c r="C231" s="84" t="s">
        <v>87</v>
      </c>
      <c r="D231" s="32" t="s">
        <v>114</v>
      </c>
      <c r="E231" s="53" t="s">
        <v>88</v>
      </c>
      <c r="F231" s="78" t="s">
        <v>87</v>
      </c>
      <c r="G231" s="34" t="s">
        <v>114</v>
      </c>
      <c r="H231" s="57" t="s">
        <v>88</v>
      </c>
      <c r="I231" s="74" t="s">
        <v>87</v>
      </c>
      <c r="J231" s="26" t="s">
        <v>114</v>
      </c>
      <c r="K231" s="58" t="s">
        <v>88</v>
      </c>
      <c r="L231" s="70" t="s">
        <v>87</v>
      </c>
      <c r="M231" s="28" t="s">
        <v>114</v>
      </c>
      <c r="N231" s="60" t="s">
        <v>88</v>
      </c>
      <c r="O231" s="63" t="s">
        <v>87</v>
      </c>
      <c r="P231" s="30" t="s">
        <v>114</v>
      </c>
      <c r="Q231" s="61" t="s">
        <v>88</v>
      </c>
    </row>
    <row r="232" spans="1:17" x14ac:dyDescent="0.2">
      <c r="A232" s="20" t="s">
        <v>67</v>
      </c>
      <c r="B232" s="23"/>
      <c r="C232" s="85">
        <f>C63</f>
        <v>332945.45454545453</v>
      </c>
      <c r="D232" s="33">
        <f>Assumptions!$D$4</f>
        <v>376</v>
      </c>
      <c r="E232" s="47">
        <f>C232/D232</f>
        <v>885.49323017408119</v>
      </c>
      <c r="F232" s="82">
        <f>F63</f>
        <v>364363.63636363635</v>
      </c>
      <c r="G232" s="36">
        <f>Assumptions!$D$5</f>
        <v>602</v>
      </c>
      <c r="H232" s="48">
        <f>F232/G232</f>
        <v>605.25520990637267</v>
      </c>
      <c r="I232" s="76">
        <f>I63</f>
        <v>459272.72727272729</v>
      </c>
      <c r="J232" s="37">
        <f>Assumptions!$D$6</f>
        <v>738</v>
      </c>
      <c r="K232" s="49">
        <f>I232/J232</f>
        <v>622.32076866223213</v>
      </c>
      <c r="L232" s="72">
        <f>L63</f>
        <v>547636.36363636365</v>
      </c>
      <c r="M232" s="38">
        <f>Assumptions!$D$7</f>
        <v>914</v>
      </c>
      <c r="N232" s="50">
        <f>L232/M232</f>
        <v>599.16451163715931</v>
      </c>
      <c r="O232" s="65">
        <f>O63</f>
        <v>623345.45454545459</v>
      </c>
      <c r="P232" s="10">
        <f>Assumptions!$D$8</f>
        <v>914</v>
      </c>
      <c r="Q232" s="51">
        <f>O232/P232</f>
        <v>681.99721503879061</v>
      </c>
    </row>
    <row r="233" spans="1:17" x14ac:dyDescent="0.2">
      <c r="B233" s="23"/>
      <c r="C233" s="85"/>
      <c r="D233" s="33"/>
      <c r="E233" s="47"/>
      <c r="F233" s="82"/>
      <c r="G233" s="25"/>
      <c r="H233" s="48"/>
      <c r="I233" s="76"/>
      <c r="J233" s="7"/>
      <c r="K233" s="49"/>
      <c r="L233" s="72"/>
      <c r="M233" s="127"/>
      <c r="N233" s="50"/>
      <c r="O233" s="65"/>
      <c r="P233" s="6"/>
      <c r="Q233" s="51"/>
    </row>
    <row r="234" spans="1:17" x14ac:dyDescent="0.2">
      <c r="A234" s="20" t="s">
        <v>64</v>
      </c>
      <c r="B234" s="23"/>
      <c r="C234" s="85">
        <f>C118</f>
        <v>263200</v>
      </c>
      <c r="D234" s="33">
        <f>Assumptions!$D$4</f>
        <v>376</v>
      </c>
      <c r="E234" s="47">
        <f>C234/D234</f>
        <v>700</v>
      </c>
      <c r="F234" s="82">
        <f>F118</f>
        <v>376250</v>
      </c>
      <c r="G234" s="36">
        <f>Assumptions!$D$5</f>
        <v>602</v>
      </c>
      <c r="H234" s="48">
        <f>F234/G234</f>
        <v>625</v>
      </c>
      <c r="I234" s="76">
        <f>I118</f>
        <v>442800</v>
      </c>
      <c r="J234" s="37">
        <f>Assumptions!$D$6</f>
        <v>738</v>
      </c>
      <c r="K234" s="49">
        <f>I234/J234</f>
        <v>600</v>
      </c>
      <c r="L234" s="72">
        <f>L118</f>
        <v>411300</v>
      </c>
      <c r="M234" s="38">
        <f>Assumptions!$D$7</f>
        <v>914</v>
      </c>
      <c r="N234" s="50">
        <f>L234/M234</f>
        <v>450</v>
      </c>
      <c r="O234" s="65">
        <f>O118</f>
        <v>411300</v>
      </c>
      <c r="P234" s="10">
        <f>Assumptions!$D$8</f>
        <v>914</v>
      </c>
      <c r="Q234" s="51">
        <f>O234/P234</f>
        <v>450</v>
      </c>
    </row>
    <row r="235" spans="1:17" x14ac:dyDescent="0.2">
      <c r="A235" s="20" t="s">
        <v>60</v>
      </c>
      <c r="B235" s="23">
        <v>140</v>
      </c>
      <c r="C235" s="88">
        <f>C131</f>
        <v>250977.60720626672</v>
      </c>
      <c r="D235" s="33">
        <f>Assumptions!$D$4</f>
        <v>376</v>
      </c>
      <c r="E235" s="90">
        <f>C235/D235</f>
        <v>667.4936361868796</v>
      </c>
      <c r="F235" s="83">
        <f>F131</f>
        <v>274660.94628732989</v>
      </c>
      <c r="G235" s="36">
        <f>Assumptions!$D$5</f>
        <v>602</v>
      </c>
      <c r="H235" s="91">
        <f>F235/G235</f>
        <v>456.24741908194335</v>
      </c>
      <c r="I235" s="77">
        <f>I131</f>
        <v>346204.3664280416</v>
      </c>
      <c r="J235" s="37">
        <f>Assumptions!$D$6</f>
        <v>738</v>
      </c>
      <c r="K235" s="92">
        <f>I235/J235</f>
        <v>469.11160762607261</v>
      </c>
      <c r="L235" s="73">
        <f>L131</f>
        <v>412813.7575935318</v>
      </c>
      <c r="M235" s="38">
        <f>Assumptions!$D$7</f>
        <v>914</v>
      </c>
      <c r="N235" s="93">
        <f>L235/M235</f>
        <v>451.65618992727769</v>
      </c>
      <c r="O235" s="66">
        <f>O131</f>
        <v>469884.0260735937</v>
      </c>
      <c r="P235" s="10">
        <f>Assumptions!$D$8</f>
        <v>914</v>
      </c>
      <c r="Q235" s="94">
        <f>O235/P235</f>
        <v>514.09630861443509</v>
      </c>
    </row>
    <row r="236" spans="1:17" x14ac:dyDescent="0.2">
      <c r="A236" s="20" t="s">
        <v>108</v>
      </c>
      <c r="B236" s="23"/>
      <c r="C236" s="85">
        <f>C234-C235</f>
        <v>12222.392793733277</v>
      </c>
      <c r="D236" s="33">
        <f>Assumptions!$D$4</f>
        <v>376</v>
      </c>
      <c r="E236" s="47">
        <f>C236/D236</f>
        <v>32.506363813120416</v>
      </c>
      <c r="F236" s="82">
        <f>F234-F235</f>
        <v>101589.05371267011</v>
      </c>
      <c r="G236" s="36">
        <f>Assumptions!$D$5</f>
        <v>602</v>
      </c>
      <c r="H236" s="48">
        <f>F236/G236</f>
        <v>168.75258091805665</v>
      </c>
      <c r="I236" s="76">
        <f>I234-I235</f>
        <v>96595.633571958402</v>
      </c>
      <c r="J236" s="37">
        <f>Assumptions!$D$6</f>
        <v>738</v>
      </c>
      <c r="K236" s="49">
        <f>I236/J236</f>
        <v>130.88839237392739</v>
      </c>
      <c r="L236" s="72">
        <f>L234-L235</f>
        <v>-1513.7575935318018</v>
      </c>
      <c r="M236" s="38">
        <f>Assumptions!$D$7</f>
        <v>914</v>
      </c>
      <c r="N236" s="50">
        <f>L236/M236</f>
        <v>-1.6561899272776825</v>
      </c>
      <c r="O236" s="65">
        <f>O234-O235</f>
        <v>-58584.026073593704</v>
      </c>
      <c r="P236" s="10">
        <f>Assumptions!$D$8</f>
        <v>914</v>
      </c>
      <c r="Q236" s="51">
        <f>O236/P236</f>
        <v>-64.096308614435131</v>
      </c>
    </row>
    <row r="237" spans="1:17" s="20" customFormat="1" x14ac:dyDescent="0.2">
      <c r="A237" s="20" t="s">
        <v>62</v>
      </c>
      <c r="B237" s="43"/>
      <c r="C237" s="123">
        <v>0</v>
      </c>
      <c r="D237" s="124">
        <f>Assumptions!$D$4</f>
        <v>376</v>
      </c>
      <c r="E237" s="125">
        <f>C237/D237</f>
        <v>0</v>
      </c>
      <c r="F237" s="121">
        <v>0</v>
      </c>
      <c r="G237" s="122">
        <f>Assumptions!$D$5</f>
        <v>602</v>
      </c>
      <c r="H237" s="120">
        <f>F237/G237</f>
        <v>0</v>
      </c>
      <c r="I237" s="117">
        <v>0</v>
      </c>
      <c r="J237" s="118">
        <f>Assumptions!$D$6</f>
        <v>738</v>
      </c>
      <c r="K237" s="119">
        <f>I237/J237</f>
        <v>0</v>
      </c>
      <c r="L237" s="114">
        <v>0</v>
      </c>
      <c r="M237" s="115">
        <f>Assumptions!$D$7</f>
        <v>914</v>
      </c>
      <c r="N237" s="116">
        <f>L237/M237</f>
        <v>0</v>
      </c>
      <c r="O237" s="112">
        <v>0</v>
      </c>
      <c r="P237" s="11">
        <f>Assumptions!$D$8</f>
        <v>914</v>
      </c>
      <c r="Q237" s="113">
        <f>O237/P237</f>
        <v>0</v>
      </c>
    </row>
    <row r="238" spans="1:17" s="20" customFormat="1" x14ac:dyDescent="0.2">
      <c r="A238" s="20" t="s">
        <v>65</v>
      </c>
      <c r="B238" s="43"/>
      <c r="C238" s="123">
        <f>C236-C237</f>
        <v>12222.392793733277</v>
      </c>
      <c r="D238" s="124">
        <f>Assumptions!$D$4</f>
        <v>376</v>
      </c>
      <c r="E238" s="125">
        <f>C238/D238</f>
        <v>32.506363813120416</v>
      </c>
      <c r="F238" s="121">
        <f>F236-F237</f>
        <v>101589.05371267011</v>
      </c>
      <c r="G238" s="122">
        <f>Assumptions!$D$5</f>
        <v>602</v>
      </c>
      <c r="H238" s="120">
        <f>F238/G238</f>
        <v>168.75258091805665</v>
      </c>
      <c r="I238" s="117">
        <f>I236-I237</f>
        <v>96595.633571958402</v>
      </c>
      <c r="J238" s="118">
        <f>Assumptions!$D$6</f>
        <v>738</v>
      </c>
      <c r="K238" s="119">
        <f>I238/J238</f>
        <v>130.88839237392739</v>
      </c>
      <c r="L238" s="114">
        <f>L236-L237</f>
        <v>-1513.7575935318018</v>
      </c>
      <c r="M238" s="115">
        <f>Assumptions!$D$7</f>
        <v>914</v>
      </c>
      <c r="N238" s="116">
        <f>L238/M238</f>
        <v>-1.6561899272776825</v>
      </c>
      <c r="O238" s="112">
        <f>O236-O237</f>
        <v>-58584.026073593704</v>
      </c>
      <c r="P238" s="11">
        <f>Assumptions!$D$8</f>
        <v>914</v>
      </c>
      <c r="Q238" s="113">
        <f>O238/P238</f>
        <v>-64.096308614435131</v>
      </c>
    </row>
    <row r="259" spans="17:18" x14ac:dyDescent="0.2">
      <c r="Q259" s="55"/>
      <c r="R259" s="9"/>
    </row>
    <row r="260" spans="17:18" x14ac:dyDescent="0.2">
      <c r="Q260" s="55"/>
      <c r="R260" s="9"/>
    </row>
    <row r="264" spans="17:18" x14ac:dyDescent="0.2">
      <c r="Q264" s="52" t="s">
        <v>53</v>
      </c>
    </row>
    <row r="286" spans="17:18" x14ac:dyDescent="0.2">
      <c r="Q286" s="55"/>
      <c r="R286" s="9"/>
    </row>
    <row r="298" spans="17:18" x14ac:dyDescent="0.2">
      <c r="Q298" s="55"/>
      <c r="R298" s="9"/>
    </row>
    <row r="299" spans="17:18" x14ac:dyDescent="0.2">
      <c r="Q299" s="55"/>
      <c r="R299" s="9"/>
    </row>
    <row r="300" spans="17:18" x14ac:dyDescent="0.2">
      <c r="Q300" s="55"/>
      <c r="R300" s="9"/>
    </row>
    <row r="337" spans="17:18" x14ac:dyDescent="0.2">
      <c r="Q337" s="55"/>
      <c r="R337" s="9"/>
    </row>
    <row r="338" spans="17:18" x14ac:dyDescent="0.2">
      <c r="Q338" s="55"/>
      <c r="R338" s="9"/>
    </row>
    <row r="350" spans="17:18" x14ac:dyDescent="0.2">
      <c r="Q350" s="55"/>
      <c r="R350" s="9"/>
    </row>
    <row r="351" spans="17:18" x14ac:dyDescent="0.2">
      <c r="Q351" s="55"/>
      <c r="R351" s="9"/>
    </row>
    <row r="364" spans="17:18" x14ac:dyDescent="0.2">
      <c r="Q364" s="55"/>
      <c r="R364" s="9"/>
    </row>
  </sheetData>
  <mergeCells count="117">
    <mergeCell ref="L6:N6"/>
    <mergeCell ref="O6:Q6"/>
    <mergeCell ref="A1:Q1"/>
    <mergeCell ref="C18:E18"/>
    <mergeCell ref="F18:H18"/>
    <mergeCell ref="I18:K18"/>
    <mergeCell ref="L18:N18"/>
    <mergeCell ref="O18:Q18"/>
    <mergeCell ref="C6:E6"/>
    <mergeCell ref="F6:H6"/>
    <mergeCell ref="I6:K6"/>
    <mergeCell ref="O66:Q66"/>
    <mergeCell ref="C30:E30"/>
    <mergeCell ref="F30:H30"/>
    <mergeCell ref="I30:K30"/>
    <mergeCell ref="L30:N30"/>
    <mergeCell ref="O30:Q30"/>
    <mergeCell ref="C66:E66"/>
    <mergeCell ref="F66:H66"/>
    <mergeCell ref="I66:K66"/>
    <mergeCell ref="L66:N66"/>
    <mergeCell ref="O42:Q42"/>
    <mergeCell ref="C54:E54"/>
    <mergeCell ref="F54:H54"/>
    <mergeCell ref="I54:K54"/>
    <mergeCell ref="L54:N54"/>
    <mergeCell ref="O54:Q54"/>
    <mergeCell ref="C42:E42"/>
    <mergeCell ref="F42:H42"/>
    <mergeCell ref="I42:K42"/>
    <mergeCell ref="L42:N42"/>
    <mergeCell ref="O78:Q78"/>
    <mergeCell ref="C85:E85"/>
    <mergeCell ref="F85:H85"/>
    <mergeCell ref="I85:K85"/>
    <mergeCell ref="L85:N85"/>
    <mergeCell ref="O85:Q85"/>
    <mergeCell ref="C78:E78"/>
    <mergeCell ref="F78:H78"/>
    <mergeCell ref="I78:K78"/>
    <mergeCell ref="L78:N78"/>
    <mergeCell ref="O92:Q92"/>
    <mergeCell ref="C99:E99"/>
    <mergeCell ref="F99:H99"/>
    <mergeCell ref="I99:K99"/>
    <mergeCell ref="L99:N99"/>
    <mergeCell ref="O99:Q99"/>
    <mergeCell ref="C92:E92"/>
    <mergeCell ref="F92:H92"/>
    <mergeCell ref="I92:K92"/>
    <mergeCell ref="L92:N92"/>
    <mergeCell ref="O106:Q106"/>
    <mergeCell ref="C116:E116"/>
    <mergeCell ref="F116:H116"/>
    <mergeCell ref="I116:K116"/>
    <mergeCell ref="L116:N116"/>
    <mergeCell ref="O116:Q116"/>
    <mergeCell ref="C106:E106"/>
    <mergeCell ref="F106:H106"/>
    <mergeCell ref="I106:K106"/>
    <mergeCell ref="L106:N106"/>
    <mergeCell ref="O122:Q122"/>
    <mergeCell ref="C137:E137"/>
    <mergeCell ref="F137:H137"/>
    <mergeCell ref="I137:K137"/>
    <mergeCell ref="L137:N137"/>
    <mergeCell ref="O137:Q137"/>
    <mergeCell ref="C122:E122"/>
    <mergeCell ref="F122:H122"/>
    <mergeCell ref="I122:K122"/>
    <mergeCell ref="L122:N122"/>
    <mergeCell ref="O146:Q146"/>
    <mergeCell ref="C155:E155"/>
    <mergeCell ref="F155:H155"/>
    <mergeCell ref="I155:K155"/>
    <mergeCell ref="L155:N155"/>
    <mergeCell ref="O155:Q155"/>
    <mergeCell ref="C146:E146"/>
    <mergeCell ref="F146:H146"/>
    <mergeCell ref="I146:K146"/>
    <mergeCell ref="L146:N146"/>
    <mergeCell ref="I185:K185"/>
    <mergeCell ref="L185:N185"/>
    <mergeCell ref="O167:Q167"/>
    <mergeCell ref="C176:E176"/>
    <mergeCell ref="F176:H176"/>
    <mergeCell ref="I176:K176"/>
    <mergeCell ref="L176:N176"/>
    <mergeCell ref="O176:Q176"/>
    <mergeCell ref="C167:E167"/>
    <mergeCell ref="F167:H167"/>
    <mergeCell ref="I167:K167"/>
    <mergeCell ref="L167:N167"/>
    <mergeCell ref="L219:N219"/>
    <mergeCell ref="O219:Q219"/>
    <mergeCell ref="C208:E208"/>
    <mergeCell ref="F208:H208"/>
    <mergeCell ref="I208:K208"/>
    <mergeCell ref="L208:N208"/>
    <mergeCell ref="O230:Q230"/>
    <mergeCell ref="A2:Q2"/>
    <mergeCell ref="C230:E230"/>
    <mergeCell ref="F230:H230"/>
    <mergeCell ref="I230:K230"/>
    <mergeCell ref="L230:N230"/>
    <mergeCell ref="O208:Q208"/>
    <mergeCell ref="C219:E219"/>
    <mergeCell ref="F219:H219"/>
    <mergeCell ref="I219:K219"/>
    <mergeCell ref="O185:Q185"/>
    <mergeCell ref="C197:E197"/>
    <mergeCell ref="F197:H197"/>
    <mergeCell ref="I197:K197"/>
    <mergeCell ref="L197:N197"/>
    <mergeCell ref="O197:Q197"/>
    <mergeCell ref="C185:E185"/>
    <mergeCell ref="F185:H185"/>
  </mergeCells>
  <phoneticPr fontId="2" type="noConversion"/>
  <pageMargins left="0.75" right="0.75" top="1" bottom="1" header="0.5" footer="0.5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topLeftCell="A24" zoomScaleNormal="100" workbookViewId="0">
      <selection activeCell="G52" sqref="G52"/>
    </sheetView>
  </sheetViews>
  <sheetFormatPr defaultColWidth="8.85546875" defaultRowHeight="12.75" x14ac:dyDescent="0.2"/>
  <cols>
    <col min="1" max="1" width="7.140625" customWidth="1"/>
    <col min="3" max="3" width="6.42578125" customWidth="1"/>
    <col min="4" max="4" width="11.7109375" bestFit="1" customWidth="1"/>
    <col min="5" max="5" width="3.42578125" customWidth="1"/>
    <col min="6" max="6" width="12.7109375" bestFit="1" customWidth="1"/>
    <col min="7" max="7" width="11.140625" bestFit="1" customWidth="1"/>
    <col min="8" max="8" width="5.42578125" customWidth="1"/>
    <col min="9" max="9" width="14.85546875" customWidth="1"/>
    <col min="10" max="10" width="12.28515625" customWidth="1"/>
    <col min="11" max="11" width="3.7109375" customWidth="1"/>
    <col min="12" max="12" width="13" customWidth="1"/>
    <col min="13" max="13" width="12" bestFit="1" customWidth="1"/>
    <col min="14" max="14" width="3.7109375" customWidth="1"/>
    <col min="15" max="15" width="14.85546875" customWidth="1"/>
    <col min="16" max="16" width="12" bestFit="1" customWidth="1"/>
    <col min="17" max="17" width="3.7109375" customWidth="1"/>
    <col min="18" max="18" width="11.7109375" bestFit="1" customWidth="1"/>
    <col min="19" max="19" width="12" bestFit="1" customWidth="1"/>
    <col min="20" max="20" width="8.42578125" customWidth="1"/>
    <col min="21" max="21" width="0.28515625" hidden="1" customWidth="1"/>
  </cols>
  <sheetData>
    <row r="1" spans="1:21" x14ac:dyDescent="0.2">
      <c r="A1" s="20" t="s">
        <v>50</v>
      </c>
      <c r="B1" s="1"/>
      <c r="C1" s="62"/>
      <c r="D1" s="1"/>
      <c r="E1" s="52"/>
      <c r="F1" s="62"/>
      <c r="G1" s="1"/>
      <c r="H1" s="1"/>
      <c r="I1" s="1"/>
      <c r="J1" s="1"/>
      <c r="K1" s="52"/>
      <c r="L1" s="62"/>
      <c r="M1" s="20">
        <f>Assumptions!D49</f>
        <v>220</v>
      </c>
      <c r="N1" s="54" t="s">
        <v>59</v>
      </c>
      <c r="O1" s="62"/>
      <c r="P1" s="20" t="s">
        <v>20</v>
      </c>
      <c r="Q1" s="52"/>
      <c r="R1" s="62"/>
      <c r="S1" s="1"/>
    </row>
    <row r="2" spans="1:21" x14ac:dyDescent="0.2">
      <c r="A2" s="20"/>
      <c r="B2" s="1"/>
      <c r="C2" s="62"/>
      <c r="D2" s="1"/>
      <c r="E2" s="52"/>
      <c r="F2" s="297" t="s">
        <v>8</v>
      </c>
      <c r="G2" s="1"/>
      <c r="H2" s="1"/>
      <c r="I2" s="1"/>
      <c r="J2" s="1"/>
      <c r="K2" s="52"/>
      <c r="L2" s="62"/>
      <c r="M2" s="20"/>
      <c r="N2" s="54"/>
      <c r="O2" s="62"/>
      <c r="P2" s="1"/>
      <c r="Q2" s="52"/>
      <c r="R2" s="62"/>
      <c r="S2" s="1"/>
    </row>
    <row r="3" spans="1:21" x14ac:dyDescent="0.2">
      <c r="A3" s="46" t="s">
        <v>116</v>
      </c>
      <c r="B3" s="9"/>
      <c r="C3" s="67"/>
      <c r="D3" s="9"/>
      <c r="E3" s="55"/>
      <c r="F3" s="67"/>
      <c r="G3" s="9"/>
      <c r="H3" s="9"/>
      <c r="I3" s="385" t="s">
        <v>70</v>
      </c>
      <c r="J3" s="385"/>
      <c r="K3" s="55"/>
      <c r="L3" s="385" t="s">
        <v>71</v>
      </c>
      <c r="M3" s="385"/>
      <c r="N3" s="55"/>
      <c r="O3" s="386" t="s">
        <v>72</v>
      </c>
      <c r="P3" s="386"/>
      <c r="Q3" s="55"/>
      <c r="R3" s="387" t="s">
        <v>73</v>
      </c>
      <c r="S3" s="387"/>
      <c r="U3" s="203" t="s">
        <v>53</v>
      </c>
    </row>
    <row r="4" spans="1:21" x14ac:dyDescent="0.2">
      <c r="A4" s="9"/>
      <c r="B4" s="46" t="s">
        <v>58</v>
      </c>
      <c r="C4" s="67"/>
      <c r="D4" s="9" t="s">
        <v>55</v>
      </c>
      <c r="E4" s="55"/>
      <c r="G4" s="9" t="s">
        <v>56</v>
      </c>
      <c r="H4" s="9"/>
      <c r="I4" s="236">
        <f>Assumptions!D49*Assumptions!D50</f>
        <v>77</v>
      </c>
      <c r="J4" s="24" t="s">
        <v>115</v>
      </c>
      <c r="K4" s="55"/>
      <c r="L4" s="236">
        <f>Assumptions!D49*Assumptions!D51</f>
        <v>81.400000000000006</v>
      </c>
      <c r="M4" s="24" t="s">
        <v>115</v>
      </c>
      <c r="N4" s="55"/>
      <c r="O4" s="237">
        <f>Assumptions!D49*Assumptions!D52</f>
        <v>35.200000000000003</v>
      </c>
      <c r="P4" s="8" t="s">
        <v>115</v>
      </c>
      <c r="Q4" s="55"/>
      <c r="R4" s="238">
        <f>Assumptions!D49*Assumptions!D53</f>
        <v>26.4</v>
      </c>
      <c r="S4" s="147" t="s">
        <v>115</v>
      </c>
      <c r="U4">
        <f>+I4+L4+O4+R4</f>
        <v>220.00000000000003</v>
      </c>
    </row>
    <row r="5" spans="1:21" x14ac:dyDescent="0.2">
      <c r="A5" s="20"/>
      <c r="B5" s="1">
        <f t="shared" ref="B5:B12" si="0">$M$1*G5</f>
        <v>0</v>
      </c>
      <c r="C5" s="62"/>
      <c r="D5" s="18">
        <v>30</v>
      </c>
      <c r="E5" s="52"/>
      <c r="G5" s="15">
        <f>Assumptions!D38</f>
        <v>0</v>
      </c>
      <c r="H5" s="15"/>
      <c r="I5" s="134">
        <f>$I$4*G5</f>
        <v>0</v>
      </c>
      <c r="J5" s="172">
        <f>I6*'Subsidy Analysis'!D8</f>
        <v>0</v>
      </c>
      <c r="K5" s="52"/>
      <c r="L5" s="134">
        <f>$L$4*G5</f>
        <v>0</v>
      </c>
      <c r="M5" s="172">
        <f>L5*'Subsidy Analysis'!G8</f>
        <v>0</v>
      </c>
      <c r="N5" s="52"/>
      <c r="O5" s="140">
        <f t="shared" ref="O5:O12" si="1">$O$4*G5</f>
        <v>0</v>
      </c>
      <c r="P5" s="176">
        <f>O5*'Subsidy Analysis'!J8</f>
        <v>0</v>
      </c>
      <c r="Q5" s="52"/>
      <c r="R5" s="148">
        <f t="shared" ref="R5:R12" si="2">$R$4*G5</f>
        <v>0</v>
      </c>
      <c r="S5" s="180">
        <f>R5*'Subsidy Analysis'!M8</f>
        <v>0</v>
      </c>
      <c r="U5">
        <f t="shared" ref="U5:U68" si="3">+I5+L5+O5+R5</f>
        <v>0</v>
      </c>
    </row>
    <row r="6" spans="1:21" x14ac:dyDescent="0.2">
      <c r="A6" s="20"/>
      <c r="B6" s="1">
        <f t="shared" si="0"/>
        <v>0</v>
      </c>
      <c r="C6" s="62"/>
      <c r="D6" s="1">
        <v>50</v>
      </c>
      <c r="E6" s="52"/>
      <c r="G6" s="15">
        <f>Assumptions!D39</f>
        <v>0</v>
      </c>
      <c r="H6" s="15"/>
      <c r="I6" s="134">
        <f t="shared" ref="I6:I12" si="4">$I$4*G6</f>
        <v>0</v>
      </c>
      <c r="J6" s="172">
        <f>I6*'Subsidy Analysis'!D9</f>
        <v>0</v>
      </c>
      <c r="K6" s="52"/>
      <c r="L6" s="134">
        <f t="shared" ref="L6:L12" si="5">$L$4*G6</f>
        <v>0</v>
      </c>
      <c r="M6" s="172">
        <f>L6*'Subsidy Analysis'!G9</f>
        <v>0</v>
      </c>
      <c r="N6" s="52"/>
      <c r="O6" s="140">
        <f t="shared" si="1"/>
        <v>0</v>
      </c>
      <c r="P6" s="176">
        <f>O6*'Subsidy Analysis'!J9</f>
        <v>0</v>
      </c>
      <c r="Q6" s="52"/>
      <c r="R6" s="148">
        <f t="shared" si="2"/>
        <v>0</v>
      </c>
      <c r="S6" s="180">
        <f>R6*'Subsidy Analysis'!M9</f>
        <v>0</v>
      </c>
      <c r="U6">
        <f t="shared" si="3"/>
        <v>0</v>
      </c>
    </row>
    <row r="7" spans="1:21" x14ac:dyDescent="0.2">
      <c r="A7" s="20"/>
      <c r="B7" s="1">
        <f t="shared" si="0"/>
        <v>0</v>
      </c>
      <c r="C7" s="62"/>
      <c r="D7" s="1">
        <v>60</v>
      </c>
      <c r="E7" s="52"/>
      <c r="G7" s="15">
        <f>Assumptions!D40</f>
        <v>0</v>
      </c>
      <c r="H7" s="15"/>
      <c r="I7" s="134">
        <f t="shared" si="4"/>
        <v>0</v>
      </c>
      <c r="J7" s="172">
        <f>I7*'Subsidy Analysis'!D10</f>
        <v>0</v>
      </c>
      <c r="K7" s="52"/>
      <c r="L7" s="134">
        <f>$L$4*G7</f>
        <v>0</v>
      </c>
      <c r="M7" s="172">
        <f>L7*'Subsidy Analysis'!G10</f>
        <v>0</v>
      </c>
      <c r="N7" s="52"/>
      <c r="O7" s="140">
        <f t="shared" si="1"/>
        <v>0</v>
      </c>
      <c r="P7" s="176">
        <f>O7*'Subsidy Analysis'!J10</f>
        <v>0</v>
      </c>
      <c r="Q7" s="52"/>
      <c r="R7" s="148">
        <f t="shared" si="2"/>
        <v>0</v>
      </c>
      <c r="S7" s="180">
        <f>R7*'Subsidy Analysis'!M10</f>
        <v>0</v>
      </c>
      <c r="U7">
        <f t="shared" si="3"/>
        <v>0</v>
      </c>
    </row>
    <row r="8" spans="1:21" x14ac:dyDescent="0.2">
      <c r="A8" s="20"/>
      <c r="B8" s="1">
        <f t="shared" si="0"/>
        <v>0</v>
      </c>
      <c r="C8" s="62"/>
      <c r="D8" s="1">
        <v>80</v>
      </c>
      <c r="E8" s="52"/>
      <c r="G8" s="15">
        <f>Assumptions!D41</f>
        <v>0</v>
      </c>
      <c r="H8" s="15"/>
      <c r="I8" s="134">
        <f t="shared" si="4"/>
        <v>0</v>
      </c>
      <c r="J8" s="172">
        <f>I8*'Subsidy Analysis'!D11</f>
        <v>0</v>
      </c>
      <c r="K8" s="52"/>
      <c r="L8" s="134">
        <f t="shared" si="5"/>
        <v>0</v>
      </c>
      <c r="M8" s="172">
        <f>L8*'Subsidy Analysis'!G11</f>
        <v>0</v>
      </c>
      <c r="N8" s="52"/>
      <c r="O8" s="140">
        <f t="shared" si="1"/>
        <v>0</v>
      </c>
      <c r="P8" s="176">
        <f>O8*'Subsidy Analysis'!J11</f>
        <v>0</v>
      </c>
      <c r="Q8" s="52" t="s">
        <v>53</v>
      </c>
      <c r="R8" s="148">
        <f t="shared" si="2"/>
        <v>0</v>
      </c>
      <c r="S8" s="180">
        <f>R8*'Subsidy Analysis'!M11</f>
        <v>0</v>
      </c>
      <c r="U8">
        <f t="shared" si="3"/>
        <v>0</v>
      </c>
    </row>
    <row r="9" spans="1:21" ht="13.5" customHeight="1" x14ac:dyDescent="0.2">
      <c r="A9" s="20"/>
      <c r="B9" s="1">
        <f t="shared" si="0"/>
        <v>0</v>
      </c>
      <c r="C9" s="62"/>
      <c r="D9" s="1">
        <v>100</v>
      </c>
      <c r="E9" s="52"/>
      <c r="G9" s="15">
        <f>Assumptions!D42</f>
        <v>0</v>
      </c>
      <c r="H9" s="15"/>
      <c r="I9" s="134">
        <f t="shared" si="4"/>
        <v>0</v>
      </c>
      <c r="J9" s="172">
        <f>I9*'Subsidy Analysis'!D12</f>
        <v>0</v>
      </c>
      <c r="K9" s="52"/>
      <c r="L9" s="134">
        <f t="shared" si="5"/>
        <v>0</v>
      </c>
      <c r="M9" s="172">
        <f>L9*'Subsidy Analysis'!G12</f>
        <v>0</v>
      </c>
      <c r="N9" s="52"/>
      <c r="O9" s="140">
        <f t="shared" si="1"/>
        <v>0</v>
      </c>
      <c r="P9" s="176">
        <f>O9*'Subsidy Analysis'!J12</f>
        <v>0</v>
      </c>
      <c r="Q9" s="52"/>
      <c r="R9" s="148">
        <f t="shared" si="2"/>
        <v>0</v>
      </c>
      <c r="S9" s="180">
        <f>R9*'Subsidy Analysis'!M12</f>
        <v>0</v>
      </c>
      <c r="U9">
        <f t="shared" si="3"/>
        <v>0</v>
      </c>
    </row>
    <row r="10" spans="1:21" ht="13.5" customHeight="1" x14ac:dyDescent="0.2">
      <c r="A10" s="20"/>
      <c r="B10" s="1">
        <f t="shared" si="0"/>
        <v>0</v>
      </c>
      <c r="C10" s="62"/>
      <c r="D10" s="1">
        <v>110</v>
      </c>
      <c r="E10" s="52"/>
      <c r="G10" s="15">
        <f>Assumptions!D43</f>
        <v>0</v>
      </c>
      <c r="H10" s="15"/>
      <c r="I10" s="134">
        <f t="shared" si="4"/>
        <v>0</v>
      </c>
      <c r="J10" s="172">
        <f>I10*'Subsidy Analysis'!D13</f>
        <v>0</v>
      </c>
      <c r="K10" s="52"/>
      <c r="L10" s="134">
        <f>$L$4*G10</f>
        <v>0</v>
      </c>
      <c r="M10" s="172">
        <f>L10*'Subsidy Analysis'!G13</f>
        <v>0</v>
      </c>
      <c r="N10" s="52"/>
      <c r="O10" s="140">
        <f t="shared" si="1"/>
        <v>0</v>
      </c>
      <c r="P10" s="176">
        <f>O10*'Subsidy Analysis'!J13</f>
        <v>0</v>
      </c>
      <c r="Q10" s="52"/>
      <c r="R10" s="148">
        <f t="shared" si="2"/>
        <v>0</v>
      </c>
      <c r="S10" s="180">
        <f>R10*'Subsidy Analysis'!M13</f>
        <v>0</v>
      </c>
      <c r="U10">
        <f t="shared" si="3"/>
        <v>0</v>
      </c>
    </row>
    <row r="11" spans="1:21" ht="13.5" customHeight="1" x14ac:dyDescent="0.2">
      <c r="A11" s="20"/>
      <c r="B11" s="1">
        <f t="shared" si="0"/>
        <v>0</v>
      </c>
      <c r="C11" s="62"/>
      <c r="D11" s="1">
        <v>120</v>
      </c>
      <c r="E11" s="52"/>
      <c r="G11" s="15">
        <f>Assumptions!D44</f>
        <v>0</v>
      </c>
      <c r="H11" s="15"/>
      <c r="I11" s="134">
        <f t="shared" si="4"/>
        <v>0</v>
      </c>
      <c r="J11" s="173">
        <f>I11*'Subsidy Analysis'!D14</f>
        <v>0</v>
      </c>
      <c r="K11" s="52"/>
      <c r="L11" s="134">
        <f t="shared" si="5"/>
        <v>0</v>
      </c>
      <c r="M11" s="173">
        <f>L11*'Subsidy Analysis'!G14</f>
        <v>0</v>
      </c>
      <c r="N11" s="59"/>
      <c r="O11" s="141">
        <f t="shared" si="1"/>
        <v>0</v>
      </c>
      <c r="P11" s="177">
        <f>O11*'Subsidy Analysis'!J14</f>
        <v>0</v>
      </c>
      <c r="Q11" s="52"/>
      <c r="R11" s="148">
        <f t="shared" si="2"/>
        <v>0</v>
      </c>
      <c r="S11" s="181">
        <f>R11*'Subsidy Analysis'!M14</f>
        <v>0</v>
      </c>
      <c r="U11">
        <f t="shared" si="3"/>
        <v>0</v>
      </c>
    </row>
    <row r="12" spans="1:21" x14ac:dyDescent="0.2">
      <c r="A12" s="20"/>
      <c r="B12" s="5">
        <f t="shared" si="0"/>
        <v>220</v>
      </c>
      <c r="C12" s="62"/>
      <c r="D12" s="1">
        <v>140</v>
      </c>
      <c r="E12" s="52"/>
      <c r="G12" s="15">
        <f>Assumptions!D45</f>
        <v>1</v>
      </c>
      <c r="H12" s="15"/>
      <c r="I12" s="134">
        <f t="shared" si="4"/>
        <v>77</v>
      </c>
      <c r="J12" s="174">
        <f>I12*'Subsidy Analysis'!D15</f>
        <v>28952</v>
      </c>
      <c r="K12" s="52"/>
      <c r="L12" s="135">
        <f t="shared" si="5"/>
        <v>81.400000000000006</v>
      </c>
      <c r="M12" s="174">
        <f>L12*'Subsidy Analysis'!G15</f>
        <v>49002.8</v>
      </c>
      <c r="N12" s="59"/>
      <c r="O12" s="142">
        <f t="shared" si="1"/>
        <v>35.200000000000003</v>
      </c>
      <c r="P12" s="178">
        <f>O12*'Subsidy Analysis'!J15</f>
        <v>25977.600000000002</v>
      </c>
      <c r="Q12" s="52"/>
      <c r="R12" s="149">
        <f t="shared" si="2"/>
        <v>26.4</v>
      </c>
      <c r="S12" s="182">
        <f>R12*'Subsidy Analysis'!M15</f>
        <v>24129.599999999999</v>
      </c>
      <c r="U12">
        <f t="shared" si="3"/>
        <v>220.00000000000003</v>
      </c>
    </row>
    <row r="13" spans="1:21" s="4" customFormat="1" x14ac:dyDescent="0.2">
      <c r="A13" s="20" t="s">
        <v>130</v>
      </c>
      <c r="B13" s="20">
        <f>SUM(B5:B12)</f>
        <v>220</v>
      </c>
      <c r="C13" s="129"/>
      <c r="D13" s="130"/>
      <c r="E13" s="131"/>
      <c r="G13" s="132">
        <f>SUM(G5:G12)</f>
        <v>1</v>
      </c>
      <c r="H13" s="132"/>
      <c r="I13" s="136">
        <f>SUM(I6:I12)</f>
        <v>77</v>
      </c>
      <c r="J13" s="175">
        <f>SUM(J5:J11)</f>
        <v>0</v>
      </c>
      <c r="K13" s="54"/>
      <c r="L13" s="136">
        <f>SUM(L5:L12)</f>
        <v>81.400000000000006</v>
      </c>
      <c r="M13" s="175">
        <f>SUM(M5:M11)</f>
        <v>0</v>
      </c>
      <c r="N13" s="54"/>
      <c r="O13" s="143">
        <f>SUM(O5:O12)</f>
        <v>35.200000000000003</v>
      </c>
      <c r="P13" s="179">
        <f>SUM(P5:P11)</f>
        <v>0</v>
      </c>
      <c r="Q13" s="54"/>
      <c r="R13" s="150">
        <f>SUM(R5:R12)</f>
        <v>26.4</v>
      </c>
      <c r="S13" s="183">
        <f>SUM(S5:S11)</f>
        <v>0</v>
      </c>
      <c r="U13">
        <f t="shared" si="3"/>
        <v>220.00000000000003</v>
      </c>
    </row>
    <row r="14" spans="1:21" x14ac:dyDescent="0.2">
      <c r="A14" s="20"/>
      <c r="B14" s="1"/>
      <c r="C14" s="89"/>
      <c r="D14" s="16"/>
      <c r="E14" s="56"/>
      <c r="F14" s="62"/>
      <c r="G14" s="15"/>
      <c r="H14" s="15"/>
      <c r="I14" s="62"/>
      <c r="J14" s="3"/>
      <c r="K14" s="52"/>
      <c r="L14" s="62"/>
      <c r="M14" s="3"/>
      <c r="N14" s="52"/>
      <c r="O14" s="62"/>
      <c r="P14" s="3"/>
      <c r="Q14" s="52"/>
      <c r="R14" s="62"/>
      <c r="S14" s="3"/>
      <c r="U14">
        <f t="shared" si="3"/>
        <v>0</v>
      </c>
    </row>
    <row r="15" spans="1:21" x14ac:dyDescent="0.2">
      <c r="A15" s="20" t="s">
        <v>128</v>
      </c>
      <c r="B15" s="1"/>
      <c r="C15" s="89"/>
      <c r="D15" s="16"/>
      <c r="E15" s="56"/>
      <c r="F15" s="62"/>
      <c r="G15" s="15"/>
      <c r="H15" s="15"/>
      <c r="I15" s="385" t="s">
        <v>70</v>
      </c>
      <c r="J15" s="385"/>
      <c r="K15" s="52"/>
      <c r="L15" s="385" t="s">
        <v>71</v>
      </c>
      <c r="M15" s="385"/>
      <c r="N15" s="55"/>
      <c r="O15" s="386" t="s">
        <v>72</v>
      </c>
      <c r="P15" s="386"/>
      <c r="Q15" s="55"/>
      <c r="R15" s="387" t="s">
        <v>73</v>
      </c>
      <c r="S15" s="387"/>
      <c r="U15" t="e">
        <f t="shared" si="3"/>
        <v>#VALUE!</v>
      </c>
    </row>
    <row r="16" spans="1:21" x14ac:dyDescent="0.2">
      <c r="A16" s="20"/>
      <c r="B16" s="46" t="s">
        <v>58</v>
      </c>
      <c r="C16" s="89"/>
      <c r="D16" s="9" t="s">
        <v>55</v>
      </c>
      <c r="E16" s="56"/>
      <c r="F16" s="67" t="s">
        <v>117</v>
      </c>
      <c r="G16" s="128" t="s">
        <v>129</v>
      </c>
      <c r="H16" s="128"/>
      <c r="I16" s="213" t="s">
        <v>87</v>
      </c>
      <c r="J16" s="137" t="s">
        <v>88</v>
      </c>
      <c r="K16" s="52"/>
      <c r="L16" s="133" t="s">
        <v>87</v>
      </c>
      <c r="M16" s="137" t="s">
        <v>88</v>
      </c>
      <c r="N16" s="52"/>
      <c r="O16" s="139" t="s">
        <v>87</v>
      </c>
      <c r="P16" s="144" t="s">
        <v>88</v>
      </c>
      <c r="Q16" s="52"/>
      <c r="R16" s="146" t="s">
        <v>87</v>
      </c>
      <c r="S16" s="151" t="s">
        <v>88</v>
      </c>
      <c r="U16" t="e">
        <f t="shared" si="3"/>
        <v>#VALUE!</v>
      </c>
    </row>
    <row r="17" spans="1:21" x14ac:dyDescent="0.2">
      <c r="A17" s="20"/>
      <c r="B17" s="1">
        <f t="shared" ref="B17:B24" si="6">B5</f>
        <v>0</v>
      </c>
      <c r="C17" s="89"/>
      <c r="D17" s="18">
        <v>30</v>
      </c>
      <c r="E17" s="56"/>
      <c r="F17" s="62">
        <f>L17+O17+R17+I17</f>
        <v>0</v>
      </c>
      <c r="G17" s="189" t="str">
        <f>IF(F17=0,"N/A",F17/B5)</f>
        <v>N/A</v>
      </c>
      <c r="H17" s="189"/>
      <c r="I17" s="82">
        <f>I5*'Subsidy Analysis'!C118</f>
        <v>0</v>
      </c>
      <c r="J17" s="153" t="str">
        <f>IF(I17=0,"N/A",I17/J5)</f>
        <v>N/A</v>
      </c>
      <c r="K17" s="52"/>
      <c r="L17" s="82">
        <f>L5*'Subsidy Analysis'!F118</f>
        <v>0</v>
      </c>
      <c r="M17" s="153" t="str">
        <f>IF(L17=0,"N/A",L17/M5)</f>
        <v>N/A</v>
      </c>
      <c r="N17" s="52"/>
      <c r="O17" s="76">
        <f>O5*'Subsidy Analysis'!$I$118</f>
        <v>0</v>
      </c>
      <c r="P17" s="154" t="str">
        <f>IF(O17=0,"N/A",O17/P5)</f>
        <v>N/A</v>
      </c>
      <c r="Q17" s="52"/>
      <c r="R17" s="72">
        <f>R5*'Subsidy Analysis'!$L$118</f>
        <v>0</v>
      </c>
      <c r="S17" s="155" t="str">
        <f>IF(R17=0,"N/A",R17/S5)</f>
        <v>N/A</v>
      </c>
      <c r="U17">
        <f t="shared" si="3"/>
        <v>0</v>
      </c>
    </row>
    <row r="18" spans="1:21" x14ac:dyDescent="0.2">
      <c r="A18" s="20"/>
      <c r="B18" s="1">
        <f t="shared" si="6"/>
        <v>0</v>
      </c>
      <c r="C18" s="89"/>
      <c r="D18" s="1">
        <v>50</v>
      </c>
      <c r="E18" s="56"/>
      <c r="F18" s="62">
        <f t="shared" ref="F18:F24" si="7">L18+O18+R18+I18</f>
        <v>0</v>
      </c>
      <c r="G18" s="189" t="str">
        <f t="shared" ref="G18:G24" si="8">IF(F18=0,"N/A",F18/B6)</f>
        <v>N/A</v>
      </c>
      <c r="H18" s="189"/>
      <c r="I18" s="82">
        <f>I6*'Subsidy Analysis'!C118</f>
        <v>0</v>
      </c>
      <c r="J18" s="153" t="str">
        <f t="shared" ref="J18:J24" si="9">IF(I18=0,"N/A",I18/J6)</f>
        <v>N/A</v>
      </c>
      <c r="K18" s="52"/>
      <c r="L18" s="82">
        <f>L6*'Subsidy Analysis'!F118</f>
        <v>0</v>
      </c>
      <c r="M18" s="153" t="str">
        <f t="shared" ref="M18:M24" si="10">IF(L18=0,"N/A",L18/M6)</f>
        <v>N/A</v>
      </c>
      <c r="N18" s="52"/>
      <c r="O18" s="76">
        <f>O6*'Subsidy Analysis'!$I$118</f>
        <v>0</v>
      </c>
      <c r="P18" s="154" t="str">
        <f t="shared" ref="P18:P24" si="11">IF(O18=0,"N/A",O18/P6)</f>
        <v>N/A</v>
      </c>
      <c r="Q18" s="52"/>
      <c r="R18" s="72">
        <f>R6*'Subsidy Analysis'!$L$118</f>
        <v>0</v>
      </c>
      <c r="S18" s="155" t="str">
        <f t="shared" ref="S18:S24" si="12">IF(R18=0,"N/A",R18/S6)</f>
        <v>N/A</v>
      </c>
      <c r="U18">
        <f t="shared" si="3"/>
        <v>0</v>
      </c>
    </row>
    <row r="19" spans="1:21" x14ac:dyDescent="0.2">
      <c r="A19" s="20"/>
      <c r="B19" s="1">
        <f t="shared" si="6"/>
        <v>0</v>
      </c>
      <c r="C19" s="89"/>
      <c r="D19" s="1">
        <v>60</v>
      </c>
      <c r="E19" s="56"/>
      <c r="F19" s="62">
        <f>L19+O19+R19+I19</f>
        <v>0</v>
      </c>
      <c r="G19" s="189" t="str">
        <f>IF(F19=0,"N/A",F19/B7)</f>
        <v>N/A</v>
      </c>
      <c r="H19" s="189"/>
      <c r="I19" s="82">
        <f>I7*'Subsidy Analysis'!C118</f>
        <v>0</v>
      </c>
      <c r="J19" s="153" t="str">
        <f t="shared" si="9"/>
        <v>N/A</v>
      </c>
      <c r="K19" s="52"/>
      <c r="L19" s="82">
        <f>L7*'Subsidy Analysis'!F118</f>
        <v>0</v>
      </c>
      <c r="M19" s="153" t="str">
        <f t="shared" si="10"/>
        <v>N/A</v>
      </c>
      <c r="N19" s="52"/>
      <c r="O19" s="76">
        <f>O7*'Subsidy Analysis'!$I$118</f>
        <v>0</v>
      </c>
      <c r="P19" s="154" t="str">
        <f t="shared" si="11"/>
        <v>N/A</v>
      </c>
      <c r="Q19" s="52"/>
      <c r="R19" s="72">
        <f>R7*'Subsidy Analysis'!$L$118</f>
        <v>0</v>
      </c>
      <c r="S19" s="155" t="str">
        <f t="shared" si="12"/>
        <v>N/A</v>
      </c>
      <c r="U19">
        <f t="shared" si="3"/>
        <v>0</v>
      </c>
    </row>
    <row r="20" spans="1:21" x14ac:dyDescent="0.2">
      <c r="A20" s="20"/>
      <c r="B20" s="1">
        <f t="shared" si="6"/>
        <v>0</v>
      </c>
      <c r="C20" s="89"/>
      <c r="D20" s="1">
        <v>80</v>
      </c>
      <c r="E20" s="56"/>
      <c r="F20" s="62">
        <f t="shared" si="7"/>
        <v>0</v>
      </c>
      <c r="G20" s="189" t="str">
        <f t="shared" si="8"/>
        <v>N/A</v>
      </c>
      <c r="H20" s="189"/>
      <c r="I20" s="82">
        <f>I8*'Subsidy Analysis'!C118</f>
        <v>0</v>
      </c>
      <c r="J20" s="153" t="str">
        <f t="shared" si="9"/>
        <v>N/A</v>
      </c>
      <c r="K20" s="52"/>
      <c r="L20" s="82">
        <f>L8*'Subsidy Analysis'!F118</f>
        <v>0</v>
      </c>
      <c r="M20" s="153" t="str">
        <f t="shared" si="10"/>
        <v>N/A</v>
      </c>
      <c r="N20" s="52"/>
      <c r="O20" s="76">
        <f>O8*'Subsidy Analysis'!$I$118</f>
        <v>0</v>
      </c>
      <c r="P20" s="154" t="str">
        <f t="shared" si="11"/>
        <v>N/A</v>
      </c>
      <c r="Q20" s="52"/>
      <c r="R20" s="72">
        <f>R8*'Subsidy Analysis'!$L$118</f>
        <v>0</v>
      </c>
      <c r="S20" s="155" t="str">
        <f t="shared" si="12"/>
        <v>N/A</v>
      </c>
      <c r="U20">
        <f t="shared" si="3"/>
        <v>0</v>
      </c>
    </row>
    <row r="21" spans="1:21" ht="13.5" customHeight="1" x14ac:dyDescent="0.2">
      <c r="A21" s="20"/>
      <c r="B21" s="1">
        <f t="shared" si="6"/>
        <v>0</v>
      </c>
      <c r="C21" s="89"/>
      <c r="D21" s="1">
        <v>100</v>
      </c>
      <c r="E21" s="56"/>
      <c r="F21" s="62">
        <f t="shared" si="7"/>
        <v>0</v>
      </c>
      <c r="G21" s="189" t="str">
        <f t="shared" si="8"/>
        <v>N/A</v>
      </c>
      <c r="H21" s="189"/>
      <c r="I21" s="82">
        <f>I9*'Subsidy Analysis'!C118</f>
        <v>0</v>
      </c>
      <c r="J21" s="153" t="str">
        <f t="shared" si="9"/>
        <v>N/A</v>
      </c>
      <c r="K21" s="52"/>
      <c r="L21" s="82">
        <f>L9*'Subsidy Analysis'!F118</f>
        <v>0</v>
      </c>
      <c r="M21" s="153" t="str">
        <f t="shared" si="10"/>
        <v>N/A</v>
      </c>
      <c r="N21" s="52"/>
      <c r="O21" s="76">
        <f>O9*'Subsidy Analysis'!$I$118</f>
        <v>0</v>
      </c>
      <c r="P21" s="154" t="str">
        <f t="shared" si="11"/>
        <v>N/A</v>
      </c>
      <c r="Q21" s="52"/>
      <c r="R21" s="72">
        <f>R9*'Subsidy Analysis'!$L$118</f>
        <v>0</v>
      </c>
      <c r="S21" s="155" t="str">
        <f t="shared" si="12"/>
        <v>N/A</v>
      </c>
      <c r="U21">
        <f t="shared" si="3"/>
        <v>0</v>
      </c>
    </row>
    <row r="22" spans="1:21" ht="13.5" customHeight="1" x14ac:dyDescent="0.2">
      <c r="A22" s="20"/>
      <c r="B22" s="1">
        <f t="shared" si="6"/>
        <v>0</v>
      </c>
      <c r="C22" s="89"/>
      <c r="D22" s="1">
        <v>110</v>
      </c>
      <c r="E22" s="56"/>
      <c r="F22" s="62">
        <f t="shared" si="7"/>
        <v>0</v>
      </c>
      <c r="G22" s="189" t="str">
        <f t="shared" si="8"/>
        <v>N/A</v>
      </c>
      <c r="H22" s="189"/>
      <c r="I22" s="82">
        <f>I10*'Subsidy Analysis'!C118</f>
        <v>0</v>
      </c>
      <c r="J22" s="153" t="str">
        <f t="shared" si="9"/>
        <v>N/A</v>
      </c>
      <c r="K22" s="52"/>
      <c r="L22" s="82">
        <f>L10*'Subsidy Analysis'!F118</f>
        <v>0</v>
      </c>
      <c r="M22" s="153" t="str">
        <f t="shared" si="10"/>
        <v>N/A</v>
      </c>
      <c r="N22" s="52"/>
      <c r="O22" s="76">
        <f>O10*'Subsidy Analysis'!$I$118</f>
        <v>0</v>
      </c>
      <c r="P22" s="154" t="str">
        <f t="shared" si="11"/>
        <v>N/A</v>
      </c>
      <c r="Q22" s="52"/>
      <c r="R22" s="72">
        <f>R10*'Subsidy Analysis'!$L$118</f>
        <v>0</v>
      </c>
      <c r="S22" s="155" t="str">
        <f t="shared" si="12"/>
        <v>N/A</v>
      </c>
      <c r="U22">
        <f t="shared" si="3"/>
        <v>0</v>
      </c>
    </row>
    <row r="23" spans="1:21" ht="13.5" customHeight="1" x14ac:dyDescent="0.2">
      <c r="A23" s="20"/>
      <c r="B23" s="1">
        <f t="shared" si="6"/>
        <v>0</v>
      </c>
      <c r="C23" s="89"/>
      <c r="D23" s="1">
        <v>120</v>
      </c>
      <c r="E23" s="56"/>
      <c r="F23" s="62">
        <f t="shared" si="7"/>
        <v>0</v>
      </c>
      <c r="G23" s="189" t="str">
        <f t="shared" si="8"/>
        <v>N/A</v>
      </c>
      <c r="H23" s="189"/>
      <c r="I23" s="82">
        <f>I11*'Subsidy Analysis'!C118</f>
        <v>0</v>
      </c>
      <c r="J23" s="153" t="str">
        <f t="shared" si="9"/>
        <v>N/A</v>
      </c>
      <c r="K23" s="52"/>
      <c r="L23" s="82">
        <f>L11*'Subsidy Analysis'!F118</f>
        <v>0</v>
      </c>
      <c r="M23" s="153" t="str">
        <f t="shared" si="10"/>
        <v>N/A</v>
      </c>
      <c r="N23" s="52"/>
      <c r="O23" s="76">
        <f>O11*'Subsidy Analysis'!$I$118</f>
        <v>0</v>
      </c>
      <c r="P23" s="154" t="str">
        <f t="shared" si="11"/>
        <v>N/A</v>
      </c>
      <c r="Q23" s="52"/>
      <c r="R23" s="72">
        <f>R11*'Subsidy Analysis'!$L$118</f>
        <v>0</v>
      </c>
      <c r="S23" s="155" t="str">
        <f t="shared" si="12"/>
        <v>N/A</v>
      </c>
      <c r="U23">
        <f t="shared" si="3"/>
        <v>0</v>
      </c>
    </row>
    <row r="24" spans="1:21" x14ac:dyDescent="0.2">
      <c r="A24" s="20"/>
      <c r="B24" s="5">
        <f t="shared" si="6"/>
        <v>220</v>
      </c>
      <c r="C24" s="89"/>
      <c r="D24" s="1">
        <v>140</v>
      </c>
      <c r="E24" s="56"/>
      <c r="F24" s="62">
        <f t="shared" si="7"/>
        <v>77338030</v>
      </c>
      <c r="G24" s="190">
        <f t="shared" si="8"/>
        <v>351536.5</v>
      </c>
      <c r="H24" s="190"/>
      <c r="I24" s="83">
        <f>I12*'Subsidy Analysis'!C118</f>
        <v>20266400</v>
      </c>
      <c r="J24" s="153">
        <f t="shared" si="9"/>
        <v>700</v>
      </c>
      <c r="K24" s="52"/>
      <c r="L24" s="83">
        <f>L12*'Subsidy Analysis'!F118</f>
        <v>30626750.000000004</v>
      </c>
      <c r="M24" s="153">
        <f t="shared" si="10"/>
        <v>625</v>
      </c>
      <c r="N24" s="52"/>
      <c r="O24" s="77">
        <f>O12*'Subsidy Analysis'!$I$118</f>
        <v>15586560.000000002</v>
      </c>
      <c r="P24" s="154">
        <f t="shared" si="11"/>
        <v>600</v>
      </c>
      <c r="Q24" s="52"/>
      <c r="R24" s="73">
        <f>R12*'Subsidy Analysis'!$L$118</f>
        <v>10858320</v>
      </c>
      <c r="S24" s="155">
        <f t="shared" si="12"/>
        <v>450</v>
      </c>
      <c r="U24">
        <f t="shared" si="3"/>
        <v>77338030</v>
      </c>
    </row>
    <row r="25" spans="1:21" s="4" customFormat="1" x14ac:dyDescent="0.2">
      <c r="A25" s="20" t="s">
        <v>130</v>
      </c>
      <c r="B25" s="20">
        <f>SUM(B17:B24)</f>
        <v>220</v>
      </c>
      <c r="C25" s="129"/>
      <c r="D25" s="20"/>
      <c r="E25" s="131"/>
      <c r="F25" s="69">
        <f>SUM(F17:F24)</f>
        <v>77338030</v>
      </c>
      <c r="G25" s="191">
        <f>F25/B13</f>
        <v>351536.5</v>
      </c>
      <c r="H25" s="191"/>
      <c r="I25" s="121">
        <f>SUM(I15:I24)</f>
        <v>20266400</v>
      </c>
      <c r="J25" s="138"/>
      <c r="K25" s="54"/>
      <c r="L25" s="121">
        <f>SUM(L15:L24)</f>
        <v>30626750.000000004</v>
      </c>
      <c r="M25" s="138"/>
      <c r="N25" s="54"/>
      <c r="O25" s="117">
        <f>SUM(O15:O24)</f>
        <v>15586560.000000002</v>
      </c>
      <c r="P25" s="145"/>
      <c r="Q25" s="54"/>
      <c r="R25" s="114">
        <f>SUM(R15:R24)</f>
        <v>10858320</v>
      </c>
      <c r="S25" s="152"/>
      <c r="U25">
        <f t="shared" si="3"/>
        <v>77338030</v>
      </c>
    </row>
    <row r="26" spans="1:21" x14ac:dyDescent="0.2">
      <c r="A26" s="20"/>
      <c r="B26" s="1"/>
      <c r="C26" s="89"/>
      <c r="D26" s="16"/>
      <c r="E26" s="56"/>
      <c r="F26" s="62"/>
      <c r="G26" s="15"/>
      <c r="H26" s="15"/>
      <c r="I26" s="62"/>
      <c r="J26" s="3"/>
      <c r="K26" s="52"/>
      <c r="L26" s="62"/>
      <c r="M26" s="3"/>
      <c r="N26" s="52"/>
      <c r="O26" s="62"/>
      <c r="P26" s="3"/>
      <c r="Q26" s="52"/>
      <c r="R26" s="62"/>
      <c r="S26" s="3"/>
      <c r="U26">
        <f t="shared" si="3"/>
        <v>0</v>
      </c>
    </row>
    <row r="27" spans="1:21" x14ac:dyDescent="0.2">
      <c r="A27" s="20" t="s">
        <v>57</v>
      </c>
      <c r="B27" s="1"/>
      <c r="C27" s="62"/>
      <c r="D27" s="1"/>
      <c r="E27" s="52"/>
      <c r="F27" s="62"/>
      <c r="G27" s="1"/>
      <c r="H27" s="1"/>
      <c r="I27" s="385" t="s">
        <v>70</v>
      </c>
      <c r="J27" s="385"/>
      <c r="K27" s="52"/>
      <c r="L27" s="385" t="s">
        <v>71</v>
      </c>
      <c r="M27" s="385"/>
      <c r="N27" s="55"/>
      <c r="O27" s="386" t="s">
        <v>72</v>
      </c>
      <c r="P27" s="386"/>
      <c r="Q27" s="55"/>
      <c r="R27" s="387" t="s">
        <v>73</v>
      </c>
      <c r="S27" s="387"/>
      <c r="U27" t="e">
        <f t="shared" si="3"/>
        <v>#VALUE!</v>
      </c>
    </row>
    <row r="28" spans="1:21" x14ac:dyDescent="0.2">
      <c r="A28" s="9"/>
      <c r="B28" s="46" t="s">
        <v>58</v>
      </c>
      <c r="C28" s="67"/>
      <c r="D28" s="9" t="s">
        <v>55</v>
      </c>
      <c r="E28" s="55"/>
      <c r="F28" s="67" t="s">
        <v>117</v>
      </c>
      <c r="G28" s="9" t="s">
        <v>129</v>
      </c>
      <c r="H28" s="9"/>
      <c r="I28" s="213" t="s">
        <v>117</v>
      </c>
      <c r="J28" s="24" t="s">
        <v>118</v>
      </c>
      <c r="K28" s="55"/>
      <c r="L28" s="133" t="s">
        <v>117</v>
      </c>
      <c r="M28" s="24" t="s">
        <v>118</v>
      </c>
      <c r="N28" s="55"/>
      <c r="O28" s="139" t="s">
        <v>117</v>
      </c>
      <c r="P28" s="8" t="s">
        <v>118</v>
      </c>
      <c r="Q28" s="55"/>
      <c r="R28" s="146" t="s">
        <v>117</v>
      </c>
      <c r="S28" s="147" t="s">
        <v>118</v>
      </c>
      <c r="U28" t="e">
        <f t="shared" si="3"/>
        <v>#VALUE!</v>
      </c>
    </row>
    <row r="29" spans="1:21" x14ac:dyDescent="0.2">
      <c r="A29" s="20"/>
      <c r="B29" s="1">
        <f t="shared" ref="B29:B36" si="13">B5</f>
        <v>0</v>
      </c>
      <c r="C29" s="62"/>
      <c r="D29" s="18">
        <v>30</v>
      </c>
      <c r="E29" s="52"/>
      <c r="F29" s="62">
        <f t="shared" ref="F29:F36" si="14">L29+O29+R29+I29</f>
        <v>0</v>
      </c>
      <c r="G29" s="189" t="str">
        <f>IF(F29=0,"N/A",F29/B5)</f>
        <v>N/A</v>
      </c>
      <c r="H29" s="189"/>
      <c r="I29" s="82">
        <f>I6*'Subsidy Analysis'!C44</f>
        <v>0</v>
      </c>
      <c r="J29" s="153" t="str">
        <f>IF(I29=0,"N/A",I29/J5)</f>
        <v>N/A</v>
      </c>
      <c r="K29" s="52"/>
      <c r="L29" s="82">
        <f>L5*'Subsidy Analysis'!F44</f>
        <v>0</v>
      </c>
      <c r="M29" s="153" t="str">
        <f>IF(L29=0,"N/A",L29/M5)</f>
        <v>N/A</v>
      </c>
      <c r="N29" s="52"/>
      <c r="O29" s="76">
        <f>O5*'Subsidy Analysis'!I44</f>
        <v>0</v>
      </c>
      <c r="P29" s="154" t="str">
        <f>IF(O29=0,"N/A",O29/P5)</f>
        <v>N/A</v>
      </c>
      <c r="Q29" s="52"/>
      <c r="R29" s="72">
        <f>R5*'Subsidy Analysis'!L44</f>
        <v>0</v>
      </c>
      <c r="S29" s="155" t="str">
        <f>IF(R29=0,"N/A",R29/S5)</f>
        <v>N/A</v>
      </c>
      <c r="U29">
        <f t="shared" si="3"/>
        <v>0</v>
      </c>
    </row>
    <row r="30" spans="1:21" x14ac:dyDescent="0.2">
      <c r="A30" s="20"/>
      <c r="B30" s="1">
        <f t="shared" si="13"/>
        <v>0</v>
      </c>
      <c r="C30" s="62"/>
      <c r="D30" s="1">
        <v>50</v>
      </c>
      <c r="E30" s="52"/>
      <c r="F30" s="62">
        <f t="shared" si="14"/>
        <v>0</v>
      </c>
      <c r="G30" s="189" t="str">
        <f t="shared" ref="G30:G36" si="15">IF(F30=0,"N/A",F30/B6)</f>
        <v>N/A</v>
      </c>
      <c r="H30" s="189"/>
      <c r="I30" s="82">
        <f>I6*'Subsidy Analysis'!C45</f>
        <v>0</v>
      </c>
      <c r="J30" s="153" t="str">
        <f t="shared" ref="J30:J36" si="16">IF(I30=0,"N/A",I30/J6)</f>
        <v>N/A</v>
      </c>
      <c r="K30" s="52"/>
      <c r="L30" s="82">
        <f>L6*'Subsidy Analysis'!F45</f>
        <v>0</v>
      </c>
      <c r="M30" s="153" t="str">
        <f t="shared" ref="M30:M36" si="17">IF(L30=0,"N/A",L30/M6)</f>
        <v>N/A</v>
      </c>
      <c r="N30" s="52"/>
      <c r="O30" s="76">
        <f>O6*'Subsidy Analysis'!I45</f>
        <v>0</v>
      </c>
      <c r="P30" s="154" t="str">
        <f t="shared" ref="P30:P36" si="18">IF(O30=0,"N/A",O30/P6)</f>
        <v>N/A</v>
      </c>
      <c r="Q30" s="52"/>
      <c r="R30" s="72">
        <f>R6*'Subsidy Analysis'!L45</f>
        <v>0</v>
      </c>
      <c r="S30" s="155" t="str">
        <f t="shared" ref="S30:S36" si="19">IF(R30=0,"N/A",R30/S6)</f>
        <v>N/A</v>
      </c>
      <c r="U30">
        <f t="shared" si="3"/>
        <v>0</v>
      </c>
    </row>
    <row r="31" spans="1:21" x14ac:dyDescent="0.2">
      <c r="A31" s="20"/>
      <c r="B31" s="1">
        <f t="shared" si="13"/>
        <v>0</v>
      </c>
      <c r="C31" s="62"/>
      <c r="D31" s="1">
        <v>60</v>
      </c>
      <c r="E31" s="52"/>
      <c r="F31" s="62">
        <f t="shared" si="14"/>
        <v>0</v>
      </c>
      <c r="G31" s="189" t="str">
        <f t="shared" si="15"/>
        <v>N/A</v>
      </c>
      <c r="H31" s="189"/>
      <c r="I31" s="82">
        <f>I7*'Subsidy Analysis'!C46</f>
        <v>0</v>
      </c>
      <c r="J31" s="153" t="str">
        <f t="shared" si="16"/>
        <v>N/A</v>
      </c>
      <c r="K31" s="52"/>
      <c r="L31" s="82">
        <f>L7*'Subsidy Analysis'!F46</f>
        <v>0</v>
      </c>
      <c r="M31" s="153" t="str">
        <f t="shared" si="17"/>
        <v>N/A</v>
      </c>
      <c r="N31" s="52"/>
      <c r="O31" s="76">
        <f>O7*'Subsidy Analysis'!I46</f>
        <v>0</v>
      </c>
      <c r="P31" s="154" t="str">
        <f t="shared" si="18"/>
        <v>N/A</v>
      </c>
      <c r="Q31" s="52"/>
      <c r="R31" s="72">
        <f>R7*'Subsidy Analysis'!L46</f>
        <v>0</v>
      </c>
      <c r="S31" s="155" t="str">
        <f t="shared" si="19"/>
        <v>N/A</v>
      </c>
      <c r="U31">
        <f t="shared" si="3"/>
        <v>0</v>
      </c>
    </row>
    <row r="32" spans="1:21" x14ac:dyDescent="0.2">
      <c r="A32" s="20"/>
      <c r="B32" s="1">
        <f t="shared" si="13"/>
        <v>0</v>
      </c>
      <c r="C32" s="62"/>
      <c r="D32" s="1">
        <v>80</v>
      </c>
      <c r="E32" s="52"/>
      <c r="F32" s="62">
        <f t="shared" si="14"/>
        <v>0</v>
      </c>
      <c r="G32" s="189" t="str">
        <f t="shared" si="15"/>
        <v>N/A</v>
      </c>
      <c r="H32" s="189"/>
      <c r="I32" s="82">
        <f>I8*'Subsidy Analysis'!C47</f>
        <v>0</v>
      </c>
      <c r="J32" s="153" t="str">
        <f t="shared" si="16"/>
        <v>N/A</v>
      </c>
      <c r="K32" s="52"/>
      <c r="L32" s="82">
        <f>L8*'Subsidy Analysis'!F47</f>
        <v>0</v>
      </c>
      <c r="M32" s="153" t="str">
        <f t="shared" si="17"/>
        <v>N/A</v>
      </c>
      <c r="N32" s="52"/>
      <c r="O32" s="76">
        <f>O8*'Subsidy Analysis'!I47</f>
        <v>0</v>
      </c>
      <c r="P32" s="154" t="str">
        <f t="shared" si="18"/>
        <v>N/A</v>
      </c>
      <c r="Q32" s="52"/>
      <c r="R32" s="72">
        <f>R8*'Subsidy Analysis'!L47</f>
        <v>0</v>
      </c>
      <c r="S32" s="155" t="str">
        <f t="shared" si="19"/>
        <v>N/A</v>
      </c>
      <c r="U32">
        <f t="shared" si="3"/>
        <v>0</v>
      </c>
    </row>
    <row r="33" spans="1:21" ht="14.25" customHeight="1" x14ac:dyDescent="0.2">
      <c r="A33" s="20"/>
      <c r="B33" s="1">
        <f t="shared" si="13"/>
        <v>0</v>
      </c>
      <c r="C33" s="62"/>
      <c r="D33" s="1">
        <v>100</v>
      </c>
      <c r="E33" s="52"/>
      <c r="F33" s="62">
        <f t="shared" si="14"/>
        <v>0</v>
      </c>
      <c r="G33" s="189" t="str">
        <f t="shared" si="15"/>
        <v>N/A</v>
      </c>
      <c r="H33" s="189"/>
      <c r="I33" s="82">
        <f>I9*'Subsidy Analysis'!C48</f>
        <v>0</v>
      </c>
      <c r="J33" s="153" t="str">
        <f t="shared" si="16"/>
        <v>N/A</v>
      </c>
      <c r="K33" s="52"/>
      <c r="L33" s="82">
        <f>L9*'Subsidy Analysis'!F48</f>
        <v>0</v>
      </c>
      <c r="M33" s="153" t="str">
        <f t="shared" si="17"/>
        <v>N/A</v>
      </c>
      <c r="N33" s="52"/>
      <c r="O33" s="76">
        <f>O9*'Subsidy Analysis'!I48</f>
        <v>0</v>
      </c>
      <c r="P33" s="154" t="str">
        <f t="shared" si="18"/>
        <v>N/A</v>
      </c>
      <c r="Q33" s="52"/>
      <c r="R33" s="72">
        <f>R9*'Subsidy Analysis'!L48</f>
        <v>0</v>
      </c>
      <c r="S33" s="155" t="str">
        <f t="shared" si="19"/>
        <v>N/A</v>
      </c>
      <c r="U33">
        <f t="shared" si="3"/>
        <v>0</v>
      </c>
    </row>
    <row r="34" spans="1:21" ht="14.25" customHeight="1" x14ac:dyDescent="0.2">
      <c r="A34" s="20"/>
      <c r="B34" s="1">
        <f t="shared" si="13"/>
        <v>0</v>
      </c>
      <c r="C34" s="62"/>
      <c r="D34" s="1">
        <v>110</v>
      </c>
      <c r="E34" s="52"/>
      <c r="F34" s="62">
        <f t="shared" si="14"/>
        <v>0</v>
      </c>
      <c r="G34" s="189" t="str">
        <f t="shared" si="15"/>
        <v>N/A</v>
      </c>
      <c r="H34" s="189"/>
      <c r="I34" s="82">
        <f>I10*'Subsidy Analysis'!C49</f>
        <v>0</v>
      </c>
      <c r="J34" s="153" t="str">
        <f t="shared" si="16"/>
        <v>N/A</v>
      </c>
      <c r="K34" s="52"/>
      <c r="L34" s="82">
        <f>L10*'Subsidy Analysis'!F49</f>
        <v>0</v>
      </c>
      <c r="M34" s="153" t="str">
        <f t="shared" si="17"/>
        <v>N/A</v>
      </c>
      <c r="N34" s="52"/>
      <c r="O34" s="76">
        <f>O10*'Subsidy Analysis'!I49</f>
        <v>0</v>
      </c>
      <c r="P34" s="154" t="str">
        <f t="shared" si="18"/>
        <v>N/A</v>
      </c>
      <c r="Q34" s="52"/>
      <c r="R34" s="72">
        <f>R10*'Subsidy Analysis'!L49</f>
        <v>0</v>
      </c>
      <c r="S34" s="155" t="str">
        <f t="shared" si="19"/>
        <v>N/A</v>
      </c>
      <c r="U34">
        <f t="shared" si="3"/>
        <v>0</v>
      </c>
    </row>
    <row r="35" spans="1:21" ht="14.25" customHeight="1" x14ac:dyDescent="0.2">
      <c r="A35" s="20"/>
      <c r="B35" s="1">
        <f t="shared" si="13"/>
        <v>0</v>
      </c>
      <c r="C35" s="62"/>
      <c r="D35" s="1">
        <v>120</v>
      </c>
      <c r="E35" s="52"/>
      <c r="F35" s="62">
        <f t="shared" si="14"/>
        <v>0</v>
      </c>
      <c r="G35" s="189" t="str">
        <f t="shared" si="15"/>
        <v>N/A</v>
      </c>
      <c r="H35" s="189"/>
      <c r="I35" s="82">
        <f>I11*'Subsidy Analysis'!C50</f>
        <v>0</v>
      </c>
      <c r="J35" s="153" t="str">
        <f t="shared" si="16"/>
        <v>N/A</v>
      </c>
      <c r="K35" s="52"/>
      <c r="L35" s="82">
        <f>L11*'Subsidy Analysis'!F50</f>
        <v>0</v>
      </c>
      <c r="M35" s="153" t="str">
        <f t="shared" si="17"/>
        <v>N/A</v>
      </c>
      <c r="N35" s="52"/>
      <c r="O35" s="76">
        <f>O11*'Subsidy Analysis'!I50</f>
        <v>0</v>
      </c>
      <c r="P35" s="154" t="str">
        <f t="shared" si="18"/>
        <v>N/A</v>
      </c>
      <c r="Q35" s="52"/>
      <c r="R35" s="72">
        <f>R11*'Subsidy Analysis'!L50</f>
        <v>0</v>
      </c>
      <c r="S35" s="155" t="str">
        <f t="shared" si="19"/>
        <v>N/A</v>
      </c>
      <c r="U35">
        <f t="shared" si="3"/>
        <v>0</v>
      </c>
    </row>
    <row r="36" spans="1:21" x14ac:dyDescent="0.2">
      <c r="A36" s="20"/>
      <c r="B36" s="5">
        <f t="shared" si="13"/>
        <v>220</v>
      </c>
      <c r="C36" s="62"/>
      <c r="D36" s="1">
        <v>140</v>
      </c>
      <c r="E36" s="52"/>
      <c r="F36" s="62">
        <f t="shared" si="14"/>
        <v>64767353.681407496</v>
      </c>
      <c r="G36" s="190">
        <f t="shared" si="15"/>
        <v>294397.0621882159</v>
      </c>
      <c r="H36" s="190"/>
      <c r="I36" s="83">
        <f>I12*'Subsidy Analysis'!C51</f>
        <v>19325275.754882537</v>
      </c>
      <c r="J36" s="153">
        <f t="shared" si="16"/>
        <v>667.4936361868796</v>
      </c>
      <c r="K36" s="52"/>
      <c r="L36" s="83">
        <f>L12*'Subsidy Analysis'!F51</f>
        <v>22357401.027788654</v>
      </c>
      <c r="M36" s="153">
        <f t="shared" si="17"/>
        <v>456.24741908194335</v>
      </c>
      <c r="N36" s="52"/>
      <c r="O36" s="77">
        <f>O12*'Subsidy Analysis'!I51</f>
        <v>12186393.698267065</v>
      </c>
      <c r="P36" s="154">
        <f t="shared" si="18"/>
        <v>469.11160762607261</v>
      </c>
      <c r="Q36" s="52"/>
      <c r="R36" s="73">
        <f>R12*'Subsidy Analysis'!L51</f>
        <v>10898283.200469239</v>
      </c>
      <c r="S36" s="155">
        <f t="shared" si="19"/>
        <v>451.65618992727769</v>
      </c>
      <c r="U36">
        <f t="shared" si="3"/>
        <v>64767353.681407496</v>
      </c>
    </row>
    <row r="37" spans="1:21" s="4" customFormat="1" x14ac:dyDescent="0.2">
      <c r="A37" s="20" t="s">
        <v>131</v>
      </c>
      <c r="B37" s="20">
        <f>SUM(B29:B36)</f>
        <v>220</v>
      </c>
      <c r="C37" s="69"/>
      <c r="D37" s="20"/>
      <c r="E37" s="54"/>
      <c r="F37" s="69">
        <f>SUM(F29:F36)</f>
        <v>64767353.681407496</v>
      </c>
      <c r="G37" s="191">
        <f>F37/M1</f>
        <v>294397.0621882159</v>
      </c>
      <c r="H37" s="191"/>
      <c r="I37" s="121">
        <f>SUM(I27:I36)</f>
        <v>19325275.754882537</v>
      </c>
      <c r="J37" s="138"/>
      <c r="K37" s="54"/>
      <c r="L37" s="121">
        <f>SUM(L27:L36)</f>
        <v>22357401.027788654</v>
      </c>
      <c r="M37" s="138"/>
      <c r="N37" s="54"/>
      <c r="O37" s="117">
        <f>SUM(O27:O36)</f>
        <v>12186393.698267065</v>
      </c>
      <c r="P37" s="145"/>
      <c r="Q37" s="54"/>
      <c r="R37" s="114">
        <f>SUM(R27:R36)</f>
        <v>10898283.200469239</v>
      </c>
      <c r="S37" s="152"/>
      <c r="U37">
        <f t="shared" si="3"/>
        <v>64767353.681407496</v>
      </c>
    </row>
    <row r="38" spans="1:21" x14ac:dyDescent="0.2">
      <c r="A38" s="20"/>
      <c r="B38" s="1" t="s">
        <v>53</v>
      </c>
      <c r="C38" s="62"/>
      <c r="D38" s="1"/>
      <c r="E38" s="52"/>
      <c r="F38" s="62" t="s">
        <v>53</v>
      </c>
      <c r="G38" s="17"/>
      <c r="H38" s="17"/>
      <c r="I38" s="62"/>
      <c r="J38" s="1"/>
      <c r="K38" s="52"/>
      <c r="L38" s="62"/>
      <c r="M38" s="1"/>
      <c r="N38" s="52"/>
      <c r="O38" s="62"/>
      <c r="P38" s="1"/>
      <c r="Q38" s="52"/>
      <c r="R38" s="62"/>
      <c r="S38" s="1"/>
      <c r="U38">
        <f t="shared" si="3"/>
        <v>0</v>
      </c>
    </row>
    <row r="39" spans="1:21" x14ac:dyDescent="0.2">
      <c r="A39" s="156" t="s">
        <v>21</v>
      </c>
      <c r="B39" s="157"/>
      <c r="C39" s="158"/>
      <c r="D39" s="157"/>
      <c r="E39" s="157"/>
      <c r="F39" s="159">
        <f>F25-F37</f>
        <v>12570676.318592504</v>
      </c>
      <c r="G39" s="17"/>
      <c r="H39" s="17"/>
      <c r="I39" s="62"/>
      <c r="J39" s="1"/>
      <c r="K39" s="52"/>
      <c r="L39" s="62"/>
      <c r="M39" s="1"/>
      <c r="N39" s="52"/>
      <c r="O39" s="62"/>
      <c r="P39" s="1"/>
      <c r="Q39" s="52"/>
      <c r="R39" s="62"/>
      <c r="S39" s="1"/>
      <c r="U39">
        <f t="shared" si="3"/>
        <v>0</v>
      </c>
    </row>
    <row r="40" spans="1:21" x14ac:dyDescent="0.2">
      <c r="A40" s="20"/>
      <c r="B40" s="1"/>
      <c r="C40" s="62"/>
      <c r="D40" s="1"/>
      <c r="E40" s="52"/>
      <c r="F40" s="62"/>
      <c r="G40" s="17"/>
      <c r="H40" s="17"/>
      <c r="I40" s="62"/>
      <c r="J40" s="1"/>
      <c r="K40" s="52"/>
      <c r="L40" s="62"/>
      <c r="M40" s="1"/>
      <c r="N40" s="52"/>
      <c r="O40" s="62"/>
      <c r="P40" s="1"/>
      <c r="Q40" s="52"/>
      <c r="R40" s="62"/>
      <c r="S40" s="1"/>
      <c r="U40">
        <f t="shared" si="3"/>
        <v>0</v>
      </c>
    </row>
    <row r="41" spans="1:21" x14ac:dyDescent="0.2">
      <c r="U41">
        <f t="shared" si="3"/>
        <v>0</v>
      </c>
    </row>
    <row r="42" spans="1:21" x14ac:dyDescent="0.2">
      <c r="A42" s="20" t="s">
        <v>51</v>
      </c>
      <c r="B42" s="1"/>
      <c r="C42" s="62"/>
      <c r="D42" s="1"/>
      <c r="E42" s="52"/>
      <c r="F42" s="62"/>
      <c r="G42" s="1"/>
      <c r="H42" s="1"/>
      <c r="I42" s="62"/>
      <c r="J42" s="20"/>
      <c r="K42" s="52"/>
      <c r="L42" s="62"/>
      <c r="M42" s="20">
        <f>Assumptions!E49</f>
        <v>719</v>
      </c>
      <c r="N42" s="54" t="s">
        <v>59</v>
      </c>
      <c r="O42" s="62"/>
      <c r="P42" s="1"/>
      <c r="Q42" s="52"/>
      <c r="R42" s="62"/>
      <c r="S42" s="1"/>
      <c r="U42">
        <f t="shared" si="3"/>
        <v>0</v>
      </c>
    </row>
    <row r="43" spans="1:21" x14ac:dyDescent="0.2">
      <c r="A43" s="20"/>
      <c r="B43" s="1"/>
      <c r="C43" s="62"/>
      <c r="D43" s="1"/>
      <c r="E43" s="52"/>
      <c r="F43" s="297" t="s">
        <v>9</v>
      </c>
      <c r="G43" s="1"/>
      <c r="H43" s="1"/>
      <c r="I43" s="62"/>
      <c r="J43" s="20"/>
      <c r="K43" s="52"/>
      <c r="L43" s="62"/>
      <c r="M43" s="20"/>
      <c r="N43" s="54"/>
      <c r="O43" s="62"/>
      <c r="P43" s="1"/>
      <c r="Q43" s="52"/>
      <c r="R43" s="62"/>
      <c r="S43" s="1"/>
      <c r="U43">
        <f t="shared" si="3"/>
        <v>0</v>
      </c>
    </row>
    <row r="44" spans="1:21" x14ac:dyDescent="0.2">
      <c r="A44" s="46" t="s">
        <v>116</v>
      </c>
      <c r="B44" s="9"/>
      <c r="C44" s="67"/>
      <c r="D44" s="9"/>
      <c r="E44" s="55"/>
      <c r="F44" s="67"/>
      <c r="G44" s="9"/>
      <c r="H44" s="9"/>
      <c r="I44" s="385" t="s">
        <v>70</v>
      </c>
      <c r="J44" s="385"/>
      <c r="K44" s="55"/>
      <c r="L44" s="385" t="s">
        <v>71</v>
      </c>
      <c r="M44" s="385"/>
      <c r="N44" s="55"/>
      <c r="O44" s="386" t="s">
        <v>72</v>
      </c>
      <c r="P44" s="386"/>
      <c r="Q44" s="55"/>
      <c r="R44" s="387" t="s">
        <v>73</v>
      </c>
      <c r="S44" s="387"/>
      <c r="U44" t="e">
        <f t="shared" si="3"/>
        <v>#VALUE!</v>
      </c>
    </row>
    <row r="45" spans="1:21" x14ac:dyDescent="0.2">
      <c r="A45" s="9"/>
      <c r="B45" s="46" t="s">
        <v>58</v>
      </c>
      <c r="C45" s="67"/>
      <c r="D45" s="9" t="s">
        <v>55</v>
      </c>
      <c r="E45" s="55"/>
      <c r="G45" s="9" t="s">
        <v>56</v>
      </c>
      <c r="H45" s="9"/>
      <c r="I45" s="236">
        <f>Assumptions!E49*Assumptions!E50</f>
        <v>251.64999999999998</v>
      </c>
      <c r="J45" s="24" t="s">
        <v>115</v>
      </c>
      <c r="K45" s="55"/>
      <c r="L45" s="236">
        <f>Assumptions!E49*Assumptions!E51</f>
        <v>266.02999999999997</v>
      </c>
      <c r="M45" s="24" t="s">
        <v>115</v>
      </c>
      <c r="N45" s="55"/>
      <c r="O45" s="237">
        <f>Assumptions!E49*Assumptions!E52</f>
        <v>115.04</v>
      </c>
      <c r="P45" s="8" t="s">
        <v>115</v>
      </c>
      <c r="Q45" s="55"/>
      <c r="R45" s="238">
        <f>Assumptions!E49*Assumptions!E53</f>
        <v>86.28</v>
      </c>
      <c r="S45" s="147" t="s">
        <v>115</v>
      </c>
      <c r="U45">
        <f t="shared" si="3"/>
        <v>718.99999999999989</v>
      </c>
    </row>
    <row r="46" spans="1:21" x14ac:dyDescent="0.2">
      <c r="A46" s="20"/>
      <c r="B46" s="1">
        <f>$M$42*G46</f>
        <v>0</v>
      </c>
      <c r="C46" s="62"/>
      <c r="D46" s="18">
        <v>30</v>
      </c>
      <c r="E46" s="52"/>
      <c r="G46" s="15">
        <f>Assumptions!E38</f>
        <v>0</v>
      </c>
      <c r="H46" s="15"/>
      <c r="I46" s="36">
        <f t="shared" ref="I46:I50" si="20">$I$45*G46</f>
        <v>0</v>
      </c>
      <c r="J46" s="184">
        <f>I46*'Subsidy Analysis'!D8</f>
        <v>0</v>
      </c>
      <c r="K46" s="52"/>
      <c r="L46" s="134">
        <f>$L$45*G46</f>
        <v>0</v>
      </c>
      <c r="M46" s="184">
        <f>L46*'Subsidy Analysis'!G8</f>
        <v>0</v>
      </c>
      <c r="N46" s="52"/>
      <c r="O46" s="140">
        <f>$O$45*G46</f>
        <v>0</v>
      </c>
      <c r="P46" s="176">
        <f>O46*'Subsidy Analysis'!J8</f>
        <v>0</v>
      </c>
      <c r="Q46" s="52"/>
      <c r="R46" s="148">
        <f>$R$45*G46</f>
        <v>0</v>
      </c>
      <c r="S46" s="180">
        <f>R46*'Subsidy Analysis'!M8</f>
        <v>0</v>
      </c>
      <c r="U46">
        <f t="shared" si="3"/>
        <v>0</v>
      </c>
    </row>
    <row r="47" spans="1:21" x14ac:dyDescent="0.2">
      <c r="A47" s="20"/>
      <c r="B47" s="1">
        <f t="shared" ref="B47:B53" si="21">$M$42*G47</f>
        <v>0</v>
      </c>
      <c r="C47" s="62"/>
      <c r="D47" s="1">
        <v>50</v>
      </c>
      <c r="E47" s="52"/>
      <c r="G47" s="15">
        <f>Assumptions!E39</f>
        <v>0</v>
      </c>
      <c r="H47" s="15"/>
      <c r="I47" s="36">
        <f t="shared" si="20"/>
        <v>0</v>
      </c>
      <c r="J47" s="184">
        <f>I47*'Subsidy Analysis'!D9</f>
        <v>0</v>
      </c>
      <c r="K47" s="52"/>
      <c r="L47" s="134">
        <f t="shared" ref="L47:L52" si="22">$L$45*G47</f>
        <v>0</v>
      </c>
      <c r="M47" s="184">
        <f>L47*'Subsidy Analysis'!G9</f>
        <v>0</v>
      </c>
      <c r="N47" s="52"/>
      <c r="O47" s="140">
        <f t="shared" ref="O47:O53" si="23">$O$45*G47</f>
        <v>0</v>
      </c>
      <c r="P47" s="176">
        <f>O47*'Subsidy Analysis'!J9</f>
        <v>0</v>
      </c>
      <c r="Q47" s="52"/>
      <c r="R47" s="148">
        <f t="shared" ref="R47:R53" si="24">$R$45*G47</f>
        <v>0</v>
      </c>
      <c r="S47" s="180">
        <f>R47*'Subsidy Analysis'!M9</f>
        <v>0</v>
      </c>
      <c r="U47">
        <f t="shared" si="3"/>
        <v>0</v>
      </c>
    </row>
    <row r="48" spans="1:21" x14ac:dyDescent="0.2">
      <c r="A48" s="20"/>
      <c r="B48" s="1">
        <f t="shared" si="21"/>
        <v>0</v>
      </c>
      <c r="C48" s="62"/>
      <c r="D48" s="1">
        <v>60</v>
      </c>
      <c r="E48" s="52"/>
      <c r="G48" s="15">
        <f>Assumptions!E40</f>
        <v>0</v>
      </c>
      <c r="H48" s="15"/>
      <c r="I48" s="36">
        <f t="shared" si="20"/>
        <v>0</v>
      </c>
      <c r="J48" s="184">
        <f>I48*'Subsidy Analysis'!D10</f>
        <v>0</v>
      </c>
      <c r="K48" s="52"/>
      <c r="L48" s="134">
        <f t="shared" si="22"/>
        <v>0</v>
      </c>
      <c r="M48" s="184">
        <f>L48*'Subsidy Analysis'!G10</f>
        <v>0</v>
      </c>
      <c r="N48" s="52"/>
      <c r="O48" s="140">
        <f t="shared" si="23"/>
        <v>0</v>
      </c>
      <c r="P48" s="176">
        <f>O48*'Subsidy Analysis'!J10</f>
        <v>0</v>
      </c>
      <c r="Q48" s="52"/>
      <c r="R48" s="148">
        <f t="shared" si="24"/>
        <v>0</v>
      </c>
      <c r="S48" s="180">
        <f>R48*'Subsidy Analysis'!M10</f>
        <v>0</v>
      </c>
      <c r="U48">
        <f t="shared" si="3"/>
        <v>0</v>
      </c>
    </row>
    <row r="49" spans="1:21" x14ac:dyDescent="0.2">
      <c r="A49" s="20"/>
      <c r="B49" s="1">
        <f t="shared" si="21"/>
        <v>528.99993599999993</v>
      </c>
      <c r="C49" s="62"/>
      <c r="D49" s="1">
        <v>80</v>
      </c>
      <c r="E49" s="52"/>
      <c r="G49" s="15">
        <f>Assumptions!E41</f>
        <v>0.73574399999999995</v>
      </c>
      <c r="H49" s="15"/>
      <c r="I49" s="36">
        <f t="shared" si="20"/>
        <v>185.14997759999997</v>
      </c>
      <c r="J49" s="184">
        <f>I49*'Subsidy Analysis'!D11</f>
        <v>69616.391577599992</v>
      </c>
      <c r="K49" s="52"/>
      <c r="L49" s="134">
        <f t="shared" si="22"/>
        <v>195.72997631999996</v>
      </c>
      <c r="M49" s="184">
        <f>L49*'Subsidy Analysis'!G11</f>
        <v>117829.44574463998</v>
      </c>
      <c r="N49" s="52"/>
      <c r="O49" s="140">
        <f t="shared" si="23"/>
        <v>84.639989760000006</v>
      </c>
      <c r="P49" s="176">
        <f>O49*'Subsidy Analysis'!J11</f>
        <v>62464.312442880007</v>
      </c>
      <c r="Q49" s="52" t="s">
        <v>53</v>
      </c>
      <c r="R49" s="148">
        <f t="shared" si="24"/>
        <v>63.479992319999994</v>
      </c>
      <c r="S49" s="180">
        <f>R49*'Subsidy Analysis'!M11</f>
        <v>58020.712980479992</v>
      </c>
      <c r="U49">
        <f t="shared" si="3"/>
        <v>528.99993599999993</v>
      </c>
    </row>
    <row r="50" spans="1:21" ht="14.25" customHeight="1" x14ac:dyDescent="0.2">
      <c r="A50" s="20"/>
      <c r="B50" s="1">
        <f t="shared" si="21"/>
        <v>0</v>
      </c>
      <c r="C50" s="62"/>
      <c r="D50" s="1">
        <v>100</v>
      </c>
      <c r="E50" s="52"/>
      <c r="G50" s="15">
        <f>Assumptions!E42</f>
        <v>0</v>
      </c>
      <c r="H50" s="15"/>
      <c r="I50" s="36">
        <f t="shared" si="20"/>
        <v>0</v>
      </c>
      <c r="J50" s="184">
        <f>I50*'Subsidy Analysis'!D12</f>
        <v>0</v>
      </c>
      <c r="K50" s="52"/>
      <c r="L50" s="134">
        <f t="shared" si="22"/>
        <v>0</v>
      </c>
      <c r="M50" s="184">
        <f>L50*'Subsidy Analysis'!G12</f>
        <v>0</v>
      </c>
      <c r="N50" s="52"/>
      <c r="O50" s="140">
        <f t="shared" si="23"/>
        <v>0</v>
      </c>
      <c r="P50" s="176">
        <f>O50*'Subsidy Analysis'!J12</f>
        <v>0</v>
      </c>
      <c r="Q50" s="52"/>
      <c r="R50" s="148">
        <f t="shared" si="24"/>
        <v>0</v>
      </c>
      <c r="S50" s="180">
        <f>R50*'Subsidy Analysis'!M12</f>
        <v>0</v>
      </c>
      <c r="U50">
        <f t="shared" si="3"/>
        <v>0</v>
      </c>
    </row>
    <row r="51" spans="1:21" ht="14.25" customHeight="1" x14ac:dyDescent="0.2">
      <c r="A51" s="20"/>
      <c r="B51" s="1">
        <f t="shared" si="21"/>
        <v>0</v>
      </c>
      <c r="C51" s="62"/>
      <c r="D51" s="1">
        <v>110</v>
      </c>
      <c r="E51" s="52"/>
      <c r="G51" s="15">
        <f>Assumptions!E43</f>
        <v>0</v>
      </c>
      <c r="H51" s="15"/>
      <c r="I51" s="36">
        <f>$I$45*G51</f>
        <v>0</v>
      </c>
      <c r="J51" s="184">
        <f>I51*'Subsidy Analysis'!D13</f>
        <v>0</v>
      </c>
      <c r="K51" s="52"/>
      <c r="L51" s="134">
        <f t="shared" si="22"/>
        <v>0</v>
      </c>
      <c r="M51" s="184">
        <f>L51*'Subsidy Analysis'!G13</f>
        <v>0</v>
      </c>
      <c r="N51" s="52"/>
      <c r="O51" s="140">
        <f t="shared" si="23"/>
        <v>0</v>
      </c>
      <c r="P51" s="176">
        <f>O51*'Subsidy Analysis'!J13</f>
        <v>0</v>
      </c>
      <c r="Q51" s="52"/>
      <c r="R51" s="148">
        <f t="shared" si="24"/>
        <v>0</v>
      </c>
      <c r="S51" s="180">
        <f>R51*'Subsidy Analysis'!M13</f>
        <v>0</v>
      </c>
      <c r="U51">
        <f t="shared" si="3"/>
        <v>0</v>
      </c>
    </row>
    <row r="52" spans="1:21" ht="14.25" customHeight="1" x14ac:dyDescent="0.2">
      <c r="A52" s="20"/>
      <c r="B52" s="1">
        <f t="shared" si="21"/>
        <v>190.00006399999998</v>
      </c>
      <c r="C52" s="62"/>
      <c r="D52" s="1">
        <v>120</v>
      </c>
      <c r="E52" s="52"/>
      <c r="G52" s="15">
        <f>Assumptions!E44</f>
        <v>0.26425599999999999</v>
      </c>
      <c r="H52" s="15"/>
      <c r="I52" s="36">
        <f t="shared" ref="I52:I53" si="25">$I$45*G52</f>
        <v>66.500022399999992</v>
      </c>
      <c r="J52" s="184">
        <f>I52*'Subsidy Analysis'!D14</f>
        <v>25004.008422399998</v>
      </c>
      <c r="K52" s="52"/>
      <c r="L52" s="134">
        <f t="shared" si="22"/>
        <v>70.300023679999995</v>
      </c>
      <c r="M52" s="184">
        <f>L52*'Subsidy Analysis'!G14</f>
        <v>42320.61425536</v>
      </c>
      <c r="N52" s="59"/>
      <c r="O52" s="140">
        <f t="shared" si="23"/>
        <v>30.40001024</v>
      </c>
      <c r="P52" s="176">
        <f>O52*'Subsidy Analysis'!J14</f>
        <v>22435.20755712</v>
      </c>
      <c r="Q52" s="52"/>
      <c r="R52" s="148">
        <f t="shared" si="24"/>
        <v>22.80000768</v>
      </c>
      <c r="S52" s="180">
        <f>R52*'Subsidy Analysis'!M14</f>
        <v>20839.207019519999</v>
      </c>
      <c r="U52">
        <f t="shared" si="3"/>
        <v>190.00006399999998</v>
      </c>
    </row>
    <row r="53" spans="1:21" x14ac:dyDescent="0.2">
      <c r="A53" s="20"/>
      <c r="B53" s="5">
        <f t="shared" si="21"/>
        <v>0</v>
      </c>
      <c r="C53" s="62"/>
      <c r="D53" s="1">
        <v>140</v>
      </c>
      <c r="E53" s="52"/>
      <c r="G53" s="15">
        <f>Assumptions!E45</f>
        <v>0</v>
      </c>
      <c r="H53" s="15"/>
      <c r="I53" s="36">
        <f t="shared" si="25"/>
        <v>0</v>
      </c>
      <c r="J53" s="185">
        <f>I53*'Subsidy Analysis'!D15</f>
        <v>0</v>
      </c>
      <c r="K53" s="52"/>
      <c r="L53" s="135">
        <f>$L$45*G53</f>
        <v>0</v>
      </c>
      <c r="M53" s="185">
        <f>L53*'Subsidy Analysis'!G15</f>
        <v>0</v>
      </c>
      <c r="N53" s="59"/>
      <c r="O53" s="160">
        <f t="shared" si="23"/>
        <v>0</v>
      </c>
      <c r="P53" s="187">
        <f>O53*'Subsidy Analysis'!J15</f>
        <v>0</v>
      </c>
      <c r="Q53" s="52"/>
      <c r="R53" s="149">
        <f t="shared" si="24"/>
        <v>0</v>
      </c>
      <c r="S53" s="188">
        <f>R53*'Subsidy Analysis'!M15</f>
        <v>0</v>
      </c>
      <c r="U53">
        <f t="shared" si="3"/>
        <v>0</v>
      </c>
    </row>
    <row r="54" spans="1:21" x14ac:dyDescent="0.2">
      <c r="A54" s="20" t="s">
        <v>130</v>
      </c>
      <c r="B54" s="20">
        <f>SUM(B46:B53)</f>
        <v>718.99999999999989</v>
      </c>
      <c r="C54" s="129"/>
      <c r="D54" s="130"/>
      <c r="E54" s="131"/>
      <c r="F54" s="4"/>
      <c r="G54" s="132">
        <f>SUM(G46:G53)</f>
        <v>1</v>
      </c>
      <c r="H54" s="132"/>
      <c r="I54" s="136">
        <f>SUM(I46:I53)</f>
        <v>251.64999999999998</v>
      </c>
      <c r="J54" s="186">
        <f>SUM(J46:J52)</f>
        <v>94620.4</v>
      </c>
      <c r="K54" s="54"/>
      <c r="L54" s="136">
        <f>SUM(L46:L53)</f>
        <v>266.02999999999997</v>
      </c>
      <c r="M54" s="186">
        <f>SUM(M46:M52)</f>
        <v>160150.05999999997</v>
      </c>
      <c r="N54" s="54"/>
      <c r="O54" s="143">
        <f>SUM(O46:O53)</f>
        <v>115.04</v>
      </c>
      <c r="P54" s="179">
        <f>SUM(P46:P52)</f>
        <v>84899.520000000004</v>
      </c>
      <c r="Q54" s="54"/>
      <c r="R54" s="150">
        <f>SUM(R46:R53)</f>
        <v>86.28</v>
      </c>
      <c r="S54" s="183">
        <f>SUM(S46:S52)</f>
        <v>78859.919999999984</v>
      </c>
      <c r="U54">
        <f t="shared" si="3"/>
        <v>718.99999999999989</v>
      </c>
    </row>
    <row r="55" spans="1:21" x14ac:dyDescent="0.2">
      <c r="A55" s="20"/>
      <c r="B55" s="1"/>
      <c r="C55" s="89"/>
      <c r="D55" s="16"/>
      <c r="E55" s="56"/>
      <c r="F55" s="62"/>
      <c r="G55" s="15"/>
      <c r="H55" s="15"/>
      <c r="I55" s="62"/>
      <c r="J55" s="3"/>
      <c r="K55" s="52"/>
      <c r="L55" s="62"/>
      <c r="M55" s="3"/>
      <c r="N55" s="52"/>
      <c r="O55" s="62"/>
      <c r="P55" s="3"/>
      <c r="Q55" s="52"/>
      <c r="R55" s="62"/>
      <c r="S55" s="3"/>
      <c r="U55">
        <f t="shared" si="3"/>
        <v>0</v>
      </c>
    </row>
    <row r="56" spans="1:21" x14ac:dyDescent="0.2">
      <c r="A56" s="20" t="s">
        <v>128</v>
      </c>
      <c r="B56" s="1"/>
      <c r="C56" s="89"/>
      <c r="D56" s="16"/>
      <c r="E56" s="56"/>
      <c r="F56" s="62"/>
      <c r="G56" s="15"/>
      <c r="H56" s="15"/>
      <c r="I56" s="385" t="s">
        <v>70</v>
      </c>
      <c r="J56" s="385"/>
      <c r="K56" s="52"/>
      <c r="L56" s="385" t="s">
        <v>71</v>
      </c>
      <c r="M56" s="385"/>
      <c r="N56" s="55"/>
      <c r="O56" s="386" t="s">
        <v>72</v>
      </c>
      <c r="P56" s="386"/>
      <c r="Q56" s="55"/>
      <c r="R56" s="387" t="s">
        <v>73</v>
      </c>
      <c r="S56" s="387"/>
      <c r="U56" t="e">
        <f t="shared" si="3"/>
        <v>#VALUE!</v>
      </c>
    </row>
    <row r="57" spans="1:21" x14ac:dyDescent="0.2">
      <c r="A57" s="20"/>
      <c r="B57" s="46" t="s">
        <v>58</v>
      </c>
      <c r="C57" s="89"/>
      <c r="D57" s="9" t="s">
        <v>55</v>
      </c>
      <c r="E57" s="56"/>
      <c r="F57" s="67" t="s">
        <v>117</v>
      </c>
      <c r="G57" s="128" t="s">
        <v>129</v>
      </c>
      <c r="H57" s="128"/>
      <c r="I57" s="213" t="s">
        <v>87</v>
      </c>
      <c r="J57" s="137" t="s">
        <v>88</v>
      </c>
      <c r="K57" s="52"/>
      <c r="L57" s="133" t="s">
        <v>87</v>
      </c>
      <c r="M57" s="137" t="s">
        <v>88</v>
      </c>
      <c r="N57" s="52"/>
      <c r="O57" s="139" t="s">
        <v>87</v>
      </c>
      <c r="P57" s="144" t="s">
        <v>88</v>
      </c>
      <c r="Q57" s="52"/>
      <c r="R57" s="146" t="s">
        <v>87</v>
      </c>
      <c r="S57" s="151" t="s">
        <v>88</v>
      </c>
      <c r="U57" t="e">
        <f t="shared" si="3"/>
        <v>#VALUE!</v>
      </c>
    </row>
    <row r="58" spans="1:21" x14ac:dyDescent="0.2">
      <c r="A58" s="20"/>
      <c r="B58" s="1">
        <f t="shared" ref="B58:B65" si="26">B46</f>
        <v>0</v>
      </c>
      <c r="C58" s="89"/>
      <c r="D58" s="18">
        <v>30</v>
      </c>
      <c r="E58" s="56"/>
      <c r="F58" s="62">
        <f t="shared" ref="F58:F65" si="27">L58+O58+R58+I58</f>
        <v>0</v>
      </c>
      <c r="G58" s="189" t="str">
        <f>IF(F58=0,"N/A",F58/B46)</f>
        <v>N/A</v>
      </c>
      <c r="H58" s="189"/>
      <c r="I58" s="82">
        <f>I46*'Subsidy Analysis'!$C$118</f>
        <v>0</v>
      </c>
      <c r="J58" s="153" t="str">
        <f>IF(I58=0,"N/A",I58/J46)</f>
        <v>N/A</v>
      </c>
      <c r="K58" s="52"/>
      <c r="L58" s="82">
        <f>L46*'Subsidy Analysis'!$F$118</f>
        <v>0</v>
      </c>
      <c r="M58" s="153" t="str">
        <f>IF(L58=0,"N/A",L58/M46)</f>
        <v>N/A</v>
      </c>
      <c r="N58" s="52"/>
      <c r="O58" s="76">
        <f>O46*'Subsidy Analysis'!$I$118</f>
        <v>0</v>
      </c>
      <c r="P58" s="154" t="str">
        <f>IF(O58=0,"N/A",O58/P46)</f>
        <v>N/A</v>
      </c>
      <c r="Q58" s="52"/>
      <c r="R58" s="72">
        <f>R46*'Subsidy Analysis'!$L$118</f>
        <v>0</v>
      </c>
      <c r="S58" s="155" t="str">
        <f>IF(R58=0,"N/A",R58/S46)</f>
        <v>N/A</v>
      </c>
      <c r="U58">
        <f t="shared" si="3"/>
        <v>0</v>
      </c>
    </row>
    <row r="59" spans="1:21" x14ac:dyDescent="0.2">
      <c r="A59" s="20"/>
      <c r="B59" s="1">
        <f t="shared" si="26"/>
        <v>0</v>
      </c>
      <c r="C59" s="89"/>
      <c r="D59" s="1">
        <v>50</v>
      </c>
      <c r="E59" s="56"/>
      <c r="F59" s="62">
        <f t="shared" si="27"/>
        <v>0</v>
      </c>
      <c r="G59" s="189" t="str">
        <f t="shared" ref="G59:G65" si="28">IF(F59=0,"N/A",F59/B47)</f>
        <v>N/A</v>
      </c>
      <c r="H59" s="189"/>
      <c r="I59" s="82">
        <f>I47*'Subsidy Analysis'!$C$118</f>
        <v>0</v>
      </c>
      <c r="J59" s="153" t="str">
        <f t="shared" ref="J59:J65" si="29">IF(I59=0,"N/A",I59/J47)</f>
        <v>N/A</v>
      </c>
      <c r="K59" s="52"/>
      <c r="L59" s="82">
        <f>L47*'Subsidy Analysis'!$F$118</f>
        <v>0</v>
      </c>
      <c r="M59" s="153" t="str">
        <f t="shared" ref="M59:M65" si="30">IF(L59=0,"N/A",L59/M47)</f>
        <v>N/A</v>
      </c>
      <c r="N59" s="52"/>
      <c r="O59" s="76">
        <f>O47*'Subsidy Analysis'!$I$118</f>
        <v>0</v>
      </c>
      <c r="P59" s="154" t="str">
        <f t="shared" ref="P59:P65" si="31">IF(O59=0,"N/A",O59/P47)</f>
        <v>N/A</v>
      </c>
      <c r="Q59" s="52"/>
      <c r="R59" s="72">
        <f>R47*'Subsidy Analysis'!$L$118</f>
        <v>0</v>
      </c>
      <c r="S59" s="155" t="str">
        <f t="shared" ref="S59:S65" si="32">IF(R59=0,"N/A",R59/S47)</f>
        <v>N/A</v>
      </c>
      <c r="U59">
        <f t="shared" si="3"/>
        <v>0</v>
      </c>
    </row>
    <row r="60" spans="1:21" x14ac:dyDescent="0.2">
      <c r="A60" s="20"/>
      <c r="B60" s="1">
        <f t="shared" si="26"/>
        <v>0</v>
      </c>
      <c r="C60" s="89"/>
      <c r="D60" s="1">
        <v>60</v>
      </c>
      <c r="E60" s="56"/>
      <c r="F60" s="62">
        <f t="shared" si="27"/>
        <v>0</v>
      </c>
      <c r="G60" s="189" t="str">
        <f t="shared" si="28"/>
        <v>N/A</v>
      </c>
      <c r="H60" s="189"/>
      <c r="I60" s="82">
        <f>I48*'Subsidy Analysis'!$C$118</f>
        <v>0</v>
      </c>
      <c r="J60" s="153" t="str">
        <f t="shared" si="29"/>
        <v>N/A</v>
      </c>
      <c r="K60" s="52"/>
      <c r="L60" s="82">
        <f>L48*'Subsidy Analysis'!$F$118</f>
        <v>0</v>
      </c>
      <c r="M60" s="153" t="str">
        <f t="shared" si="30"/>
        <v>N/A</v>
      </c>
      <c r="N60" s="52"/>
      <c r="O60" s="76">
        <f>O48*'Subsidy Analysis'!$I$118</f>
        <v>0</v>
      </c>
      <c r="P60" s="154" t="str">
        <f t="shared" si="31"/>
        <v>N/A</v>
      </c>
      <c r="Q60" s="52"/>
      <c r="R60" s="72">
        <f>R48*'Subsidy Analysis'!$L$118</f>
        <v>0</v>
      </c>
      <c r="S60" s="155" t="str">
        <f t="shared" si="32"/>
        <v>N/A</v>
      </c>
      <c r="U60">
        <f t="shared" si="3"/>
        <v>0</v>
      </c>
    </row>
    <row r="61" spans="1:21" x14ac:dyDescent="0.2">
      <c r="A61" s="20"/>
      <c r="B61" s="1">
        <f t="shared" si="26"/>
        <v>528.99993599999993</v>
      </c>
      <c r="C61" s="89"/>
      <c r="D61" s="1">
        <v>80</v>
      </c>
      <c r="E61" s="56"/>
      <c r="F61" s="62">
        <f t="shared" si="27"/>
        <v>185962786.00166398</v>
      </c>
      <c r="G61" s="189">
        <f t="shared" si="28"/>
        <v>351536.5</v>
      </c>
      <c r="H61" s="189"/>
      <c r="I61" s="82">
        <f>I49*'Subsidy Analysis'!$C$118</f>
        <v>48731474.10431999</v>
      </c>
      <c r="J61" s="153">
        <f t="shared" si="29"/>
        <v>699.99999999999989</v>
      </c>
      <c r="K61" s="52"/>
      <c r="L61" s="82">
        <f>L49*'Subsidy Analysis'!$F$118</f>
        <v>73643403.590399981</v>
      </c>
      <c r="M61" s="153">
        <f t="shared" si="30"/>
        <v>625</v>
      </c>
      <c r="N61" s="52"/>
      <c r="O61" s="76">
        <f>O49*'Subsidy Analysis'!$I$118</f>
        <v>37478587.465728</v>
      </c>
      <c r="P61" s="154">
        <f t="shared" si="31"/>
        <v>599.99999999999989</v>
      </c>
      <c r="Q61" s="52"/>
      <c r="R61" s="72">
        <f>R49*'Subsidy Analysis'!$L$118</f>
        <v>26109320.841215998</v>
      </c>
      <c r="S61" s="155">
        <f t="shared" si="32"/>
        <v>450.00000000000006</v>
      </c>
      <c r="U61">
        <f t="shared" si="3"/>
        <v>185962786.00166395</v>
      </c>
    </row>
    <row r="62" spans="1:21" ht="13.5" customHeight="1" x14ac:dyDescent="0.2">
      <c r="A62" s="20"/>
      <c r="B62" s="1">
        <f t="shared" si="26"/>
        <v>0</v>
      </c>
      <c r="C62" s="89"/>
      <c r="D62" s="1">
        <v>100</v>
      </c>
      <c r="E62" s="56"/>
      <c r="F62" s="62">
        <f t="shared" si="27"/>
        <v>0</v>
      </c>
      <c r="G62" s="189" t="str">
        <f t="shared" si="28"/>
        <v>N/A</v>
      </c>
      <c r="H62" s="189"/>
      <c r="I62" s="82">
        <f>I50*'Subsidy Analysis'!$C$118</f>
        <v>0</v>
      </c>
      <c r="J62" s="153" t="str">
        <f t="shared" si="29"/>
        <v>N/A</v>
      </c>
      <c r="K62" s="52"/>
      <c r="L62" s="82">
        <f>L50*'Subsidy Analysis'!$F$118</f>
        <v>0</v>
      </c>
      <c r="M62" s="153" t="str">
        <f t="shared" si="30"/>
        <v>N/A</v>
      </c>
      <c r="N62" s="52"/>
      <c r="O62" s="76">
        <f>O50*'Subsidy Analysis'!$I$118</f>
        <v>0</v>
      </c>
      <c r="P62" s="154" t="str">
        <f t="shared" si="31"/>
        <v>N/A</v>
      </c>
      <c r="Q62" s="52"/>
      <c r="R62" s="72">
        <f>R50*'Subsidy Analysis'!$L$118</f>
        <v>0</v>
      </c>
      <c r="S62" s="155" t="str">
        <f t="shared" si="32"/>
        <v>N/A</v>
      </c>
      <c r="U62">
        <f t="shared" si="3"/>
        <v>0</v>
      </c>
    </row>
    <row r="63" spans="1:21" ht="13.5" customHeight="1" x14ac:dyDescent="0.2">
      <c r="A63" s="20"/>
      <c r="B63" s="1">
        <f t="shared" si="26"/>
        <v>0</v>
      </c>
      <c r="C63" s="89"/>
      <c r="D63" s="1">
        <v>110</v>
      </c>
      <c r="E63" s="56"/>
      <c r="F63" s="62">
        <f t="shared" si="27"/>
        <v>0</v>
      </c>
      <c r="G63" s="189" t="str">
        <f t="shared" si="28"/>
        <v>N/A</v>
      </c>
      <c r="H63" s="189"/>
      <c r="I63" s="82">
        <f>I51*'Subsidy Analysis'!$C$118</f>
        <v>0</v>
      </c>
      <c r="J63" s="153" t="str">
        <f t="shared" si="29"/>
        <v>N/A</v>
      </c>
      <c r="K63" s="52"/>
      <c r="L63" s="82">
        <f>L51*'Subsidy Analysis'!$F$118</f>
        <v>0</v>
      </c>
      <c r="M63" s="153" t="str">
        <f t="shared" si="30"/>
        <v>N/A</v>
      </c>
      <c r="N63" s="52"/>
      <c r="O63" s="76">
        <f>O51*'Subsidy Analysis'!$I$118</f>
        <v>0</v>
      </c>
      <c r="P63" s="154" t="str">
        <f t="shared" si="31"/>
        <v>N/A</v>
      </c>
      <c r="Q63" s="52"/>
      <c r="R63" s="72">
        <f>R51*'Subsidy Analysis'!$L$118</f>
        <v>0</v>
      </c>
      <c r="S63" s="155" t="str">
        <f t="shared" si="32"/>
        <v>N/A</v>
      </c>
      <c r="U63">
        <f t="shared" si="3"/>
        <v>0</v>
      </c>
    </row>
    <row r="64" spans="1:21" ht="13.5" customHeight="1" x14ac:dyDescent="0.2">
      <c r="A64" s="20"/>
      <c r="B64" s="1">
        <f t="shared" si="26"/>
        <v>190.00006399999998</v>
      </c>
      <c r="C64" s="89"/>
      <c r="D64" s="1">
        <v>120</v>
      </c>
      <c r="E64" s="56"/>
      <c r="F64" s="62">
        <f t="shared" si="27"/>
        <v>66791957.498336002</v>
      </c>
      <c r="G64" s="189">
        <f t="shared" si="28"/>
        <v>351536.50000000006</v>
      </c>
      <c r="H64" s="189"/>
      <c r="I64" s="82">
        <f>I52*'Subsidy Analysis'!$C$118</f>
        <v>17502805.895679999</v>
      </c>
      <c r="J64" s="153">
        <f t="shared" si="29"/>
        <v>700</v>
      </c>
      <c r="K64" s="52"/>
      <c r="L64" s="82">
        <f>L52*'Subsidy Analysis'!$F$118</f>
        <v>26450383.909599997</v>
      </c>
      <c r="M64" s="153">
        <f t="shared" si="30"/>
        <v>624.99999999999989</v>
      </c>
      <c r="N64" s="52"/>
      <c r="O64" s="76">
        <f>O52*'Subsidy Analysis'!$I$118</f>
        <v>13461124.534272</v>
      </c>
      <c r="P64" s="154">
        <f t="shared" si="31"/>
        <v>600</v>
      </c>
      <c r="Q64" s="52"/>
      <c r="R64" s="72">
        <f>R52*'Subsidy Analysis'!$L$118</f>
        <v>9377643.1587840002</v>
      </c>
      <c r="S64" s="155">
        <f t="shared" si="32"/>
        <v>450</v>
      </c>
      <c r="U64">
        <f t="shared" si="3"/>
        <v>66791957.498336002</v>
      </c>
    </row>
    <row r="65" spans="1:21" x14ac:dyDescent="0.2">
      <c r="A65" s="20"/>
      <c r="B65" s="5">
        <f t="shared" si="26"/>
        <v>0</v>
      </c>
      <c r="C65" s="89"/>
      <c r="D65" s="1">
        <v>140</v>
      </c>
      <c r="E65" s="56"/>
      <c r="F65" s="62">
        <f t="shared" si="27"/>
        <v>0</v>
      </c>
      <c r="G65" s="190" t="str">
        <f t="shared" si="28"/>
        <v>N/A</v>
      </c>
      <c r="H65" s="190"/>
      <c r="I65" s="83">
        <f>I53*'Subsidy Analysis'!$C$118</f>
        <v>0</v>
      </c>
      <c r="J65" s="153" t="str">
        <f t="shared" si="29"/>
        <v>N/A</v>
      </c>
      <c r="K65" s="52"/>
      <c r="L65" s="83">
        <f>L53*'Subsidy Analysis'!$F$118</f>
        <v>0</v>
      </c>
      <c r="M65" s="153" t="str">
        <f t="shared" si="30"/>
        <v>N/A</v>
      </c>
      <c r="N65" s="52"/>
      <c r="O65" s="77">
        <f>O53*'Subsidy Analysis'!$I$118</f>
        <v>0</v>
      </c>
      <c r="P65" s="154" t="str">
        <f t="shared" si="31"/>
        <v>N/A</v>
      </c>
      <c r="Q65" s="52"/>
      <c r="R65" s="73">
        <f>R53*'Subsidy Analysis'!$L$118</f>
        <v>0</v>
      </c>
      <c r="S65" s="155" t="str">
        <f t="shared" si="32"/>
        <v>N/A</v>
      </c>
      <c r="U65">
        <f t="shared" si="3"/>
        <v>0</v>
      </c>
    </row>
    <row r="66" spans="1:21" x14ac:dyDescent="0.2">
      <c r="A66" s="20" t="s">
        <v>130</v>
      </c>
      <c r="B66" s="20">
        <f>SUM(B58:B65)</f>
        <v>718.99999999999989</v>
      </c>
      <c r="C66" s="129"/>
      <c r="D66" s="20"/>
      <c r="E66" s="131"/>
      <c r="F66" s="69">
        <f>SUM(F58:F65)</f>
        <v>252754743.5</v>
      </c>
      <c r="G66" s="191">
        <f>F66/B54</f>
        <v>351536.50000000006</v>
      </c>
      <c r="H66" s="191"/>
      <c r="I66" s="121">
        <f>SUM(I56:I65)</f>
        <v>66234279.999999985</v>
      </c>
      <c r="J66" s="138"/>
      <c r="K66" s="54"/>
      <c r="L66" s="121">
        <f>SUM(L56:L65)</f>
        <v>100093787.49999997</v>
      </c>
      <c r="M66" s="138"/>
      <c r="N66" s="54"/>
      <c r="O66" s="117">
        <f>SUM(O56:O65)</f>
        <v>50939712</v>
      </c>
      <c r="P66" s="145"/>
      <c r="Q66" s="54"/>
      <c r="R66" s="114">
        <f>SUM(R56:R65)</f>
        <v>35486964</v>
      </c>
      <c r="S66" s="152"/>
      <c r="U66">
        <f t="shared" si="3"/>
        <v>252754743.49999994</v>
      </c>
    </row>
    <row r="67" spans="1:21" x14ac:dyDescent="0.2">
      <c r="A67" s="20"/>
      <c r="B67" s="1"/>
      <c r="C67" s="89"/>
      <c r="D67" s="16"/>
      <c r="E67" s="56"/>
      <c r="F67" s="62"/>
      <c r="G67" s="15"/>
      <c r="H67" s="15"/>
      <c r="I67" s="62"/>
      <c r="J67" s="3"/>
      <c r="K67" s="52"/>
      <c r="L67" s="62"/>
      <c r="M67" s="3"/>
      <c r="N67" s="52"/>
      <c r="O67" s="62"/>
      <c r="P67" s="3"/>
      <c r="Q67" s="52"/>
      <c r="R67" s="62"/>
      <c r="S67" s="3"/>
      <c r="U67">
        <f t="shared" si="3"/>
        <v>0</v>
      </c>
    </row>
    <row r="68" spans="1:21" x14ac:dyDescent="0.2">
      <c r="A68" s="20" t="s">
        <v>57</v>
      </c>
      <c r="B68" s="1"/>
      <c r="C68" s="62"/>
      <c r="D68" s="1"/>
      <c r="E68" s="52"/>
      <c r="F68" s="62"/>
      <c r="G68" s="1"/>
      <c r="H68" s="1"/>
      <c r="I68" s="385" t="s">
        <v>70</v>
      </c>
      <c r="J68" s="385"/>
      <c r="K68" s="52"/>
      <c r="L68" s="385" t="s">
        <v>71</v>
      </c>
      <c r="M68" s="385"/>
      <c r="N68" s="55"/>
      <c r="O68" s="386" t="s">
        <v>72</v>
      </c>
      <c r="P68" s="386"/>
      <c r="Q68" s="55"/>
      <c r="R68" s="387" t="s">
        <v>73</v>
      </c>
      <c r="S68" s="387"/>
      <c r="U68" t="e">
        <f t="shared" si="3"/>
        <v>#VALUE!</v>
      </c>
    </row>
    <row r="69" spans="1:21" x14ac:dyDescent="0.2">
      <c r="A69" s="9"/>
      <c r="B69" s="46" t="s">
        <v>58</v>
      </c>
      <c r="C69" s="67"/>
      <c r="D69" s="9" t="s">
        <v>55</v>
      </c>
      <c r="E69" s="55"/>
      <c r="F69" s="67" t="s">
        <v>117</v>
      </c>
      <c r="G69" s="9" t="s">
        <v>129</v>
      </c>
      <c r="H69" s="9"/>
      <c r="I69" s="213" t="s">
        <v>117</v>
      </c>
      <c r="J69" s="24" t="s">
        <v>118</v>
      </c>
      <c r="K69" s="55"/>
      <c r="L69" s="133" t="s">
        <v>117</v>
      </c>
      <c r="M69" s="24" t="s">
        <v>118</v>
      </c>
      <c r="N69" s="55"/>
      <c r="O69" s="139" t="s">
        <v>117</v>
      </c>
      <c r="P69" s="8" t="s">
        <v>118</v>
      </c>
      <c r="Q69" s="55"/>
      <c r="R69" s="146" t="s">
        <v>117</v>
      </c>
      <c r="S69" s="147" t="s">
        <v>118</v>
      </c>
      <c r="U69" t="e">
        <f t="shared" ref="U69:U119" si="33">+I69+L69+O69+R69</f>
        <v>#VALUE!</v>
      </c>
    </row>
    <row r="70" spans="1:21" x14ac:dyDescent="0.2">
      <c r="A70" s="20"/>
      <c r="B70" s="1">
        <f t="shared" ref="B70:B77" si="34">B46</f>
        <v>0</v>
      </c>
      <c r="C70" s="62"/>
      <c r="D70" s="18">
        <v>30</v>
      </c>
      <c r="E70" s="52"/>
      <c r="F70" s="62">
        <f t="shared" ref="F70:F77" si="35">L70+O70+R70+I70</f>
        <v>0</v>
      </c>
      <c r="G70" s="189" t="str">
        <f>IF(F70=0,"N/A",F70/B46)</f>
        <v>N/A</v>
      </c>
      <c r="H70" s="189"/>
      <c r="I70" s="82">
        <f>I46*'Subsidy Analysis'!C44</f>
        <v>0</v>
      </c>
      <c r="J70" s="153" t="str">
        <f>IF(I70=0,"N/A",I70/J46)</f>
        <v>N/A</v>
      </c>
      <c r="K70" s="52"/>
      <c r="L70" s="82">
        <f>L46*'Subsidy Analysis'!F44</f>
        <v>0</v>
      </c>
      <c r="M70" s="153" t="str">
        <f>IF(L70=0,"N/A",L70/M46)</f>
        <v>N/A</v>
      </c>
      <c r="N70" s="52"/>
      <c r="O70" s="76">
        <f>O46*'Subsidy Analysis'!I44</f>
        <v>0</v>
      </c>
      <c r="P70" s="154" t="str">
        <f>IF(O70=0,"N/A",O70/P46)</f>
        <v>N/A</v>
      </c>
      <c r="Q70" s="52"/>
      <c r="R70" s="72">
        <f>R46*'Subsidy Analysis'!L44</f>
        <v>0</v>
      </c>
      <c r="S70" s="155" t="str">
        <f>IF(R70=0,"N/A",R70/S46)</f>
        <v>N/A</v>
      </c>
      <c r="U70">
        <f t="shared" si="33"/>
        <v>0</v>
      </c>
    </row>
    <row r="71" spans="1:21" x14ac:dyDescent="0.2">
      <c r="A71" s="20"/>
      <c r="B71" s="1">
        <f t="shared" si="34"/>
        <v>0</v>
      </c>
      <c r="C71" s="62"/>
      <c r="D71" s="1">
        <v>50</v>
      </c>
      <c r="E71" s="52"/>
      <c r="F71" s="62">
        <f t="shared" si="35"/>
        <v>0</v>
      </c>
      <c r="G71" s="189" t="str">
        <f t="shared" ref="G71:G77" si="36">IF(F71=0,"N/A",F71/B47)</f>
        <v>N/A</v>
      </c>
      <c r="H71" s="189"/>
      <c r="I71" s="82">
        <f>I47*'Subsidy Analysis'!C45</f>
        <v>0</v>
      </c>
      <c r="J71" s="153" t="str">
        <f t="shared" ref="J71:J77" si="37">IF(I71=0,"N/A",I71/J47)</f>
        <v>N/A</v>
      </c>
      <c r="K71" s="52"/>
      <c r="L71" s="82">
        <f>L47*'Subsidy Analysis'!F45</f>
        <v>0</v>
      </c>
      <c r="M71" s="153" t="str">
        <f t="shared" ref="M71:M77" si="38">IF(L71=0,"N/A",L71/M47)</f>
        <v>N/A</v>
      </c>
      <c r="N71" s="52"/>
      <c r="O71" s="76">
        <f>O47*'Subsidy Analysis'!I45</f>
        <v>0</v>
      </c>
      <c r="P71" s="154" t="str">
        <f t="shared" ref="P71:P77" si="39">IF(O71=0,"N/A",O71/P47)</f>
        <v>N/A</v>
      </c>
      <c r="Q71" s="52"/>
      <c r="R71" s="72">
        <f>R47*'Subsidy Analysis'!L45</f>
        <v>0</v>
      </c>
      <c r="S71" s="155" t="str">
        <f t="shared" ref="S71:S77" si="40">IF(R71=0,"N/A",R71/S47)</f>
        <v>N/A</v>
      </c>
      <c r="U71">
        <f t="shared" si="33"/>
        <v>0</v>
      </c>
    </row>
    <row r="72" spans="1:21" x14ac:dyDescent="0.2">
      <c r="A72" s="20"/>
      <c r="B72" s="1">
        <f t="shared" si="34"/>
        <v>0</v>
      </c>
      <c r="C72" s="62"/>
      <c r="D72" s="1">
        <v>60</v>
      </c>
      <c r="E72" s="52"/>
      <c r="F72" s="62">
        <f t="shared" si="35"/>
        <v>0</v>
      </c>
      <c r="G72" s="189" t="str">
        <f t="shared" si="36"/>
        <v>N/A</v>
      </c>
      <c r="H72" s="189"/>
      <c r="I72" s="82">
        <f>I48*'Subsidy Analysis'!C46</f>
        <v>0</v>
      </c>
      <c r="J72" s="153" t="str">
        <f t="shared" si="37"/>
        <v>N/A</v>
      </c>
      <c r="K72" s="52"/>
      <c r="L72" s="82">
        <f>L48*'Subsidy Analysis'!F46</f>
        <v>0</v>
      </c>
      <c r="M72" s="153" t="str">
        <f t="shared" si="38"/>
        <v>N/A</v>
      </c>
      <c r="N72" s="52"/>
      <c r="O72" s="76">
        <f>O48*'Subsidy Analysis'!I46</f>
        <v>0</v>
      </c>
      <c r="P72" s="154" t="str">
        <f t="shared" si="39"/>
        <v>N/A</v>
      </c>
      <c r="Q72" s="52"/>
      <c r="R72" s="72">
        <f>R48*'Subsidy Analysis'!L46</f>
        <v>0</v>
      </c>
      <c r="S72" s="155" t="str">
        <f t="shared" si="40"/>
        <v>N/A</v>
      </c>
      <c r="U72">
        <f t="shared" si="33"/>
        <v>0</v>
      </c>
    </row>
    <row r="73" spans="1:21" x14ac:dyDescent="0.2">
      <c r="A73" s="20"/>
      <c r="B73" s="1">
        <f t="shared" si="34"/>
        <v>528.99993599999993</v>
      </c>
      <c r="C73" s="62"/>
      <c r="D73" s="1">
        <v>80</v>
      </c>
      <c r="E73" s="52"/>
      <c r="F73" s="62">
        <f>L73+O73+R73+I73</f>
        <v>98326855.294699818</v>
      </c>
      <c r="G73" s="189">
        <f t="shared" si="36"/>
        <v>185873.0948782191</v>
      </c>
      <c r="H73" s="189"/>
      <c r="I73" s="82">
        <f>I49*'Subsidy Analysis'!C47</f>
        <v>28685010.123136334</v>
      </c>
      <c r="J73" s="153">
        <f t="shared" si="37"/>
        <v>412.04390910094401</v>
      </c>
      <c r="K73" s="52"/>
      <c r="L73" s="82">
        <f>L49*'Subsidy Analysis'!F47</f>
        <v>33639851.87780001</v>
      </c>
      <c r="M73" s="153">
        <f t="shared" si="38"/>
        <v>285.4961394854077</v>
      </c>
      <c r="N73" s="52"/>
      <c r="O73" s="76">
        <f>O49*'Subsidy Analysis'!I47</f>
        <v>18848409.44214819</v>
      </c>
      <c r="P73" s="154">
        <f t="shared" si="39"/>
        <v>301.74684880080872</v>
      </c>
      <c r="Q73" s="52"/>
      <c r="R73" s="72">
        <f>R49*'Subsidy Analysis'!L47</f>
        <v>17153583.851615284</v>
      </c>
      <c r="S73" s="155">
        <f t="shared" si="40"/>
        <v>295.645864561959</v>
      </c>
      <c r="U73">
        <f t="shared" si="33"/>
        <v>98326855.294699818</v>
      </c>
    </row>
    <row r="74" spans="1:21" ht="13.5" customHeight="1" x14ac:dyDescent="0.2">
      <c r="A74" s="20"/>
      <c r="B74" s="1">
        <f t="shared" si="34"/>
        <v>0</v>
      </c>
      <c r="C74" s="62"/>
      <c r="D74" s="1">
        <v>100</v>
      </c>
      <c r="E74" s="52"/>
      <c r="F74" s="62">
        <f t="shared" si="35"/>
        <v>0</v>
      </c>
      <c r="G74" s="189" t="str">
        <f t="shared" si="36"/>
        <v>N/A</v>
      </c>
      <c r="H74" s="189"/>
      <c r="I74" s="82">
        <f>I50*'Subsidy Analysis'!C48</f>
        <v>0</v>
      </c>
      <c r="J74" s="153" t="str">
        <f t="shared" si="37"/>
        <v>N/A</v>
      </c>
      <c r="K74" s="52"/>
      <c r="L74" s="82">
        <f>L50*'Subsidy Analysis'!F48</f>
        <v>0</v>
      </c>
      <c r="M74" s="153" t="str">
        <f t="shared" si="38"/>
        <v>N/A</v>
      </c>
      <c r="N74" s="52"/>
      <c r="O74" s="76">
        <f>O50*'Subsidy Analysis'!I48</f>
        <v>0</v>
      </c>
      <c r="P74" s="154" t="str">
        <f t="shared" si="39"/>
        <v>N/A</v>
      </c>
      <c r="Q74" s="52"/>
      <c r="R74" s="72">
        <f>R50*'Subsidy Analysis'!L48</f>
        <v>0</v>
      </c>
      <c r="S74" s="155" t="str">
        <f t="shared" si="40"/>
        <v>N/A</v>
      </c>
      <c r="U74">
        <f t="shared" si="33"/>
        <v>0</v>
      </c>
    </row>
    <row r="75" spans="1:21" ht="13.5" customHeight="1" x14ac:dyDescent="0.2">
      <c r="A75" s="20"/>
      <c r="B75" s="1">
        <f t="shared" si="34"/>
        <v>0</v>
      </c>
      <c r="C75" s="62"/>
      <c r="D75" s="1">
        <v>110</v>
      </c>
      <c r="E75" s="52"/>
      <c r="F75" s="62">
        <f t="shared" si="35"/>
        <v>0</v>
      </c>
      <c r="G75" s="189" t="str">
        <f t="shared" si="36"/>
        <v>N/A</v>
      </c>
      <c r="H75" s="189"/>
      <c r="I75" s="82">
        <f>I51*'Subsidy Analysis'!C49</f>
        <v>0</v>
      </c>
      <c r="J75" s="153" t="str">
        <f t="shared" si="37"/>
        <v>N/A</v>
      </c>
      <c r="K75" s="52"/>
      <c r="L75" s="82">
        <f>L51*'Subsidy Analysis'!F49</f>
        <v>0</v>
      </c>
      <c r="M75" s="153" t="str">
        <f t="shared" si="38"/>
        <v>N/A</v>
      </c>
      <c r="N75" s="52"/>
      <c r="O75" s="76">
        <f>O51*'Subsidy Analysis'!I49</f>
        <v>0</v>
      </c>
      <c r="P75" s="154" t="str">
        <f t="shared" si="39"/>
        <v>N/A</v>
      </c>
      <c r="Q75" s="52"/>
      <c r="R75" s="72">
        <f>R51*'Subsidy Analysis'!L49</f>
        <v>0</v>
      </c>
      <c r="S75" s="155" t="str">
        <f t="shared" si="40"/>
        <v>N/A</v>
      </c>
      <c r="U75">
        <f t="shared" si="33"/>
        <v>0</v>
      </c>
    </row>
    <row r="76" spans="1:21" ht="13.5" customHeight="1" x14ac:dyDescent="0.2">
      <c r="A76" s="20"/>
      <c r="B76" s="1">
        <f t="shared" si="34"/>
        <v>190.00006399999998</v>
      </c>
      <c r="C76" s="62"/>
      <c r="D76" s="1">
        <v>120</v>
      </c>
      <c r="E76" s="52"/>
      <c r="F76" s="62">
        <f t="shared" si="35"/>
        <v>45702083.754373543</v>
      </c>
      <c r="G76" s="189">
        <f t="shared" si="36"/>
        <v>240537.20189469802</v>
      </c>
      <c r="H76" s="189"/>
      <c r="I76" s="82">
        <f>I52*'Subsidy Analysis'!C50</f>
        <v>13518257.139828509</v>
      </c>
      <c r="J76" s="153">
        <f t="shared" si="37"/>
        <v>540.64360047639775</v>
      </c>
      <c r="K76" s="52"/>
      <c r="L76" s="82">
        <f>L52*'Subsidy Analysis'!F50</f>
        <v>15724426.705413101</v>
      </c>
      <c r="M76" s="153">
        <f t="shared" si="38"/>
        <v>371.55478440206161</v>
      </c>
      <c r="N76" s="52"/>
      <c r="O76" s="76">
        <f>O52*'Subsidy Analysis'!I50</f>
        <v>8659684.2778300475</v>
      </c>
      <c r="P76" s="154">
        <f t="shared" si="39"/>
        <v>385.98636788995628</v>
      </c>
      <c r="Q76" s="52"/>
      <c r="R76" s="72">
        <f>R52*'Subsidy Analysis'!L50</f>
        <v>7799715.6313018883</v>
      </c>
      <c r="S76" s="155">
        <f t="shared" si="40"/>
        <v>374.28082671264445</v>
      </c>
      <c r="U76">
        <f t="shared" si="33"/>
        <v>45702083.754373543</v>
      </c>
    </row>
    <row r="77" spans="1:21" x14ac:dyDescent="0.2">
      <c r="A77" s="20"/>
      <c r="B77" s="5">
        <f t="shared" si="34"/>
        <v>0</v>
      </c>
      <c r="C77" s="62"/>
      <c r="D77" s="1">
        <v>140</v>
      </c>
      <c r="E77" s="52"/>
      <c r="F77" s="62">
        <f t="shared" si="35"/>
        <v>0</v>
      </c>
      <c r="G77" s="190" t="str">
        <f t="shared" si="36"/>
        <v>N/A</v>
      </c>
      <c r="H77" s="190"/>
      <c r="I77" s="83">
        <f>I53*'Subsidy Analysis'!C51</f>
        <v>0</v>
      </c>
      <c r="J77" s="153" t="str">
        <f t="shared" si="37"/>
        <v>N/A</v>
      </c>
      <c r="K77" s="52"/>
      <c r="L77" s="83">
        <f>L53*'Subsidy Analysis'!F51</f>
        <v>0</v>
      </c>
      <c r="M77" s="153" t="str">
        <f t="shared" si="38"/>
        <v>N/A</v>
      </c>
      <c r="N77" s="52"/>
      <c r="O77" s="77">
        <f>O53*'Subsidy Analysis'!I51</f>
        <v>0</v>
      </c>
      <c r="P77" s="154" t="str">
        <f t="shared" si="39"/>
        <v>N/A</v>
      </c>
      <c r="Q77" s="52"/>
      <c r="R77" s="72">
        <f>R53*'Subsidy Analysis'!L51</f>
        <v>0</v>
      </c>
      <c r="S77" s="155" t="str">
        <f t="shared" si="40"/>
        <v>N/A</v>
      </c>
      <c r="U77">
        <f t="shared" si="33"/>
        <v>0</v>
      </c>
    </row>
    <row r="78" spans="1:21" x14ac:dyDescent="0.2">
      <c r="A78" s="20" t="s">
        <v>131</v>
      </c>
      <c r="B78" s="20">
        <f>SUM(B70:B77)</f>
        <v>718.99999999999989</v>
      </c>
      <c r="C78" s="69"/>
      <c r="D78" s="20"/>
      <c r="E78" s="54"/>
      <c r="F78" s="69">
        <f>SUM(F70:F77)</f>
        <v>144028939.04907337</v>
      </c>
      <c r="G78" s="191">
        <f>F78/M42</f>
        <v>200318.41314196575</v>
      </c>
      <c r="H78" s="191"/>
      <c r="I78" s="121">
        <f>SUM(I68:I77)</f>
        <v>42203267.262964845</v>
      </c>
      <c r="J78" s="138"/>
      <c r="K78" s="54"/>
      <c r="L78" s="121">
        <f>SUM(L68:L77)</f>
        <v>49364278.583213113</v>
      </c>
      <c r="M78" s="138"/>
      <c r="N78" s="54"/>
      <c r="O78" s="117">
        <f>SUM(O68:O77)</f>
        <v>27508093.719978236</v>
      </c>
      <c r="P78" s="145"/>
      <c r="Q78" s="54"/>
      <c r="R78" s="114">
        <f>SUM(R68:R77)</f>
        <v>24953299.482917171</v>
      </c>
      <c r="S78" s="152"/>
      <c r="U78">
        <f t="shared" si="33"/>
        <v>144028939.04907337</v>
      </c>
    </row>
    <row r="79" spans="1:21" x14ac:dyDescent="0.2">
      <c r="A79" s="20"/>
      <c r="B79" s="1" t="s">
        <v>53</v>
      </c>
      <c r="C79" s="62"/>
      <c r="D79" s="1"/>
      <c r="E79" s="52"/>
      <c r="F79" s="62" t="s">
        <v>53</v>
      </c>
      <c r="G79" s="17"/>
      <c r="H79" s="17"/>
      <c r="I79" s="62"/>
      <c r="J79" s="1"/>
      <c r="K79" s="52"/>
      <c r="L79" s="62"/>
      <c r="M79" s="1"/>
      <c r="N79" s="52"/>
      <c r="O79" s="62"/>
      <c r="P79" s="1"/>
      <c r="Q79" s="52"/>
      <c r="R79" s="62"/>
      <c r="S79" s="1"/>
      <c r="U79">
        <f t="shared" si="33"/>
        <v>0</v>
      </c>
    </row>
    <row r="80" spans="1:21" x14ac:dyDescent="0.2">
      <c r="A80" s="156" t="s">
        <v>21</v>
      </c>
      <c r="B80" s="157"/>
      <c r="C80" s="158"/>
      <c r="D80" s="157"/>
      <c r="E80" s="157"/>
      <c r="F80" s="159">
        <f>F66-F78</f>
        <v>108725804.45092663</v>
      </c>
      <c r="G80" s="17"/>
      <c r="H80" s="17"/>
      <c r="I80" s="62"/>
      <c r="J80" s="1"/>
      <c r="K80" s="52"/>
      <c r="L80" s="62"/>
      <c r="M80" s="1"/>
      <c r="N80" s="52"/>
      <c r="O80" s="62"/>
      <c r="P80" s="1"/>
      <c r="Q80" s="52"/>
      <c r="R80" s="62"/>
      <c r="S80" s="1"/>
      <c r="U80">
        <f t="shared" si="33"/>
        <v>0</v>
      </c>
    </row>
    <row r="81" spans="1:21" x14ac:dyDescent="0.2">
      <c r="U81">
        <f t="shared" si="33"/>
        <v>0</v>
      </c>
    </row>
    <row r="82" spans="1:21" x14ac:dyDescent="0.2">
      <c r="U82">
        <f t="shared" si="33"/>
        <v>0</v>
      </c>
    </row>
    <row r="83" spans="1:21" x14ac:dyDescent="0.2">
      <c r="A83" s="20" t="s">
        <v>50</v>
      </c>
      <c r="B83" s="1"/>
      <c r="C83" s="62"/>
      <c r="D83" s="1"/>
      <c r="E83" s="52"/>
      <c r="F83" s="62"/>
      <c r="G83" s="1"/>
      <c r="H83" s="1"/>
      <c r="I83" s="62"/>
      <c r="J83" s="20"/>
      <c r="K83" s="52"/>
      <c r="L83" s="62"/>
      <c r="M83" s="20">
        <f>Assumptions!F49</f>
        <v>939</v>
      </c>
      <c r="N83" s="54" t="s">
        <v>59</v>
      </c>
      <c r="O83" s="62"/>
      <c r="P83" s="1"/>
      <c r="Q83" s="52"/>
      <c r="R83" s="62"/>
      <c r="S83" s="1"/>
      <c r="U83">
        <f t="shared" si="33"/>
        <v>0</v>
      </c>
    </row>
    <row r="84" spans="1:21" x14ac:dyDescent="0.2">
      <c r="A84" s="20"/>
      <c r="B84" s="1"/>
      <c r="C84" s="62"/>
      <c r="D84" s="1"/>
      <c r="E84" s="52"/>
      <c r="F84" s="297" t="s">
        <v>10</v>
      </c>
      <c r="G84" s="1"/>
      <c r="H84" s="1"/>
      <c r="I84" s="62"/>
      <c r="J84" s="20"/>
      <c r="K84" s="52"/>
      <c r="L84" s="62"/>
      <c r="M84" s="20"/>
      <c r="N84" s="54"/>
      <c r="O84" s="62"/>
      <c r="P84" s="1"/>
      <c r="Q84" s="52"/>
      <c r="R84" s="62"/>
      <c r="S84" s="1"/>
      <c r="U84">
        <f t="shared" si="33"/>
        <v>0</v>
      </c>
    </row>
    <row r="85" spans="1:21" x14ac:dyDescent="0.2">
      <c r="A85" s="46" t="s">
        <v>116</v>
      </c>
      <c r="B85" s="9"/>
      <c r="C85" s="67"/>
      <c r="D85" s="9"/>
      <c r="E85" s="55"/>
      <c r="F85" s="67"/>
      <c r="G85" s="9"/>
      <c r="H85" s="9"/>
      <c r="I85" s="385" t="s">
        <v>70</v>
      </c>
      <c r="J85" s="385"/>
      <c r="K85" s="55"/>
      <c r="L85" s="388" t="s">
        <v>71</v>
      </c>
      <c r="M85" s="388"/>
      <c r="N85" s="55"/>
      <c r="O85" s="386" t="s">
        <v>72</v>
      </c>
      <c r="P85" s="386"/>
      <c r="Q85" s="55"/>
      <c r="R85" s="387" t="s">
        <v>73</v>
      </c>
      <c r="S85" s="387"/>
      <c r="U85" t="e">
        <f t="shared" si="33"/>
        <v>#VALUE!</v>
      </c>
    </row>
    <row r="86" spans="1:21" x14ac:dyDescent="0.2">
      <c r="A86" s="9"/>
      <c r="B86" s="46" t="s">
        <v>58</v>
      </c>
      <c r="C86" s="67"/>
      <c r="D86" s="9" t="s">
        <v>55</v>
      </c>
      <c r="E86" s="55"/>
      <c r="G86" s="9" t="s">
        <v>56</v>
      </c>
      <c r="H86" s="9"/>
      <c r="I86" s="236">
        <f>Assumptions!F49*Assumptions!F50</f>
        <v>328.65</v>
      </c>
      <c r="J86" s="24" t="s">
        <v>115</v>
      </c>
      <c r="K86" s="55"/>
      <c r="L86" s="236">
        <f>Assumptions!F49*Assumptions!F51</f>
        <v>347.43</v>
      </c>
      <c r="M86" s="24" t="s">
        <v>115</v>
      </c>
      <c r="N86" s="55"/>
      <c r="O86" s="237">
        <f>Assumptions!F49*Assumptions!F52</f>
        <v>150.24</v>
      </c>
      <c r="P86" s="8" t="s">
        <v>115</v>
      </c>
      <c r="Q86" s="55"/>
      <c r="R86" s="238">
        <f>Assumptions!F49*Assumptions!F53</f>
        <v>112.67999999999999</v>
      </c>
      <c r="S86" s="147" t="s">
        <v>115</v>
      </c>
      <c r="U86">
        <f t="shared" si="33"/>
        <v>938.99999999999989</v>
      </c>
    </row>
    <row r="87" spans="1:21" x14ac:dyDescent="0.2">
      <c r="A87" s="20"/>
      <c r="B87" s="1">
        <f>$M$83*G87</f>
        <v>0</v>
      </c>
      <c r="C87" s="62"/>
      <c r="D87" s="18">
        <v>30</v>
      </c>
      <c r="E87" s="52"/>
      <c r="G87" s="15">
        <f>Assumptions!F38</f>
        <v>0</v>
      </c>
      <c r="H87" s="15"/>
      <c r="I87" s="134">
        <f t="shared" ref="I87:I94" si="41">$I$86*G87</f>
        <v>0</v>
      </c>
      <c r="J87" s="184">
        <f>I87*'Subsidy Analysis'!D8</f>
        <v>0</v>
      </c>
      <c r="K87" s="52"/>
      <c r="L87" s="134">
        <f>$L$86*G87</f>
        <v>0</v>
      </c>
      <c r="M87" s="184">
        <f>L87*'Subsidy Analysis'!G8</f>
        <v>0</v>
      </c>
      <c r="N87" s="52"/>
      <c r="O87" s="140">
        <f>$O$86*G87</f>
        <v>0</v>
      </c>
      <c r="P87" s="176">
        <f>O87*'Subsidy Analysis'!J8</f>
        <v>0</v>
      </c>
      <c r="Q87" s="52"/>
      <c r="R87" s="148">
        <f>$R$86*G87</f>
        <v>0</v>
      </c>
      <c r="S87" s="180">
        <f>R87*'Subsidy Analysis'!M8</f>
        <v>0</v>
      </c>
      <c r="U87">
        <f t="shared" si="33"/>
        <v>0</v>
      </c>
    </row>
    <row r="88" spans="1:21" x14ac:dyDescent="0.2">
      <c r="A88" s="20"/>
      <c r="B88" s="1">
        <f t="shared" ref="B88:B94" si="42">$M$83*G88</f>
        <v>0</v>
      </c>
      <c r="C88" s="62"/>
      <c r="D88" s="1">
        <v>50</v>
      </c>
      <c r="E88" s="52"/>
      <c r="G88" s="15">
        <f>Assumptions!F39</f>
        <v>0</v>
      </c>
      <c r="H88" s="15"/>
      <c r="I88" s="134">
        <f t="shared" si="41"/>
        <v>0</v>
      </c>
      <c r="J88" s="184">
        <f>I88*'Subsidy Analysis'!D9</f>
        <v>0</v>
      </c>
      <c r="K88" s="52"/>
      <c r="L88" s="134">
        <f t="shared" ref="L88:L94" si="43">$L$86*G88</f>
        <v>0</v>
      </c>
      <c r="M88" s="184">
        <f>L88*'Subsidy Analysis'!G9</f>
        <v>0</v>
      </c>
      <c r="N88" s="52"/>
      <c r="O88" s="140">
        <f t="shared" ref="O88:O94" si="44">$O$86*G88</f>
        <v>0</v>
      </c>
      <c r="P88" s="176">
        <f>O88*'Subsidy Analysis'!J9</f>
        <v>0</v>
      </c>
      <c r="Q88" s="52"/>
      <c r="R88" s="148">
        <f t="shared" ref="R88:R94" si="45">$R$86*G88</f>
        <v>0</v>
      </c>
      <c r="S88" s="180">
        <f>R88*'Subsidy Analysis'!M9</f>
        <v>0</v>
      </c>
      <c r="U88">
        <f t="shared" si="33"/>
        <v>0</v>
      </c>
    </row>
    <row r="89" spans="1:21" x14ac:dyDescent="0.2">
      <c r="A89" s="20"/>
      <c r="B89" s="1">
        <f t="shared" si="42"/>
        <v>0</v>
      </c>
      <c r="C89" s="62"/>
      <c r="D89" s="1">
        <v>60</v>
      </c>
      <c r="E89" s="52"/>
      <c r="G89" s="15">
        <f>Assumptions!F40</f>
        <v>0</v>
      </c>
      <c r="H89" s="15"/>
      <c r="I89" s="134">
        <f t="shared" si="41"/>
        <v>0</v>
      </c>
      <c r="J89" s="184">
        <f>I89*'Subsidy Analysis'!D10</f>
        <v>0</v>
      </c>
      <c r="K89" s="52"/>
      <c r="L89" s="134">
        <f t="shared" si="43"/>
        <v>0</v>
      </c>
      <c r="M89" s="184">
        <f>L89*'Subsidy Analysis'!G10</f>
        <v>0</v>
      </c>
      <c r="N89" s="52"/>
      <c r="O89" s="140">
        <f t="shared" si="44"/>
        <v>0</v>
      </c>
      <c r="P89" s="176">
        <f>O89*'Subsidy Analysis'!J10</f>
        <v>0</v>
      </c>
      <c r="Q89" s="52"/>
      <c r="R89" s="148">
        <f t="shared" si="45"/>
        <v>0</v>
      </c>
      <c r="S89" s="180">
        <f>R89*'Subsidy Analysis'!M10</f>
        <v>0</v>
      </c>
      <c r="U89">
        <f t="shared" si="33"/>
        <v>0</v>
      </c>
    </row>
    <row r="90" spans="1:21" x14ac:dyDescent="0.2">
      <c r="A90" s="20"/>
      <c r="B90" s="1">
        <f t="shared" si="42"/>
        <v>528.99973499999999</v>
      </c>
      <c r="C90" s="62"/>
      <c r="D90" s="1">
        <v>80</v>
      </c>
      <c r="E90" s="52"/>
      <c r="G90" s="15">
        <f>Assumptions!F41</f>
        <v>0.563365</v>
      </c>
      <c r="H90" s="15"/>
      <c r="I90" s="134">
        <f t="shared" si="41"/>
        <v>185.14990724999998</v>
      </c>
      <c r="J90" s="184">
        <f>I90*'Subsidy Analysis'!D11</f>
        <v>69616.36512599999</v>
      </c>
      <c r="K90" s="52"/>
      <c r="L90" s="134">
        <f t="shared" si="43"/>
        <v>195.72990195</v>
      </c>
      <c r="M90" s="184">
        <f>L90*'Subsidy Analysis'!G11</f>
        <v>117829.4009739</v>
      </c>
      <c r="N90" s="52"/>
      <c r="O90" s="140">
        <f t="shared" si="44"/>
        <v>84.639957600000002</v>
      </c>
      <c r="P90" s="176">
        <f>O90*'Subsidy Analysis'!J11</f>
        <v>62464.288708799999</v>
      </c>
      <c r="Q90" s="52" t="s">
        <v>53</v>
      </c>
      <c r="R90" s="148">
        <f t="shared" si="45"/>
        <v>63.479968199999995</v>
      </c>
      <c r="S90" s="180">
        <f>R90*'Subsidy Analysis'!M11</f>
        <v>58020.690934799997</v>
      </c>
      <c r="U90">
        <f t="shared" si="33"/>
        <v>528.99973499999999</v>
      </c>
    </row>
    <row r="91" spans="1:21" ht="14.25" customHeight="1" x14ac:dyDescent="0.2">
      <c r="A91" s="20"/>
      <c r="B91" s="1">
        <f t="shared" si="42"/>
        <v>0</v>
      </c>
      <c r="C91" s="62"/>
      <c r="D91" s="1">
        <v>100</v>
      </c>
      <c r="E91" s="52"/>
      <c r="G91" s="15">
        <f>Assumptions!F42</f>
        <v>0</v>
      </c>
      <c r="H91" s="15"/>
      <c r="I91" s="134">
        <f t="shared" si="41"/>
        <v>0</v>
      </c>
      <c r="J91" s="184">
        <f>I91*'Subsidy Analysis'!D12</f>
        <v>0</v>
      </c>
      <c r="K91" s="52"/>
      <c r="L91" s="134">
        <f t="shared" si="43"/>
        <v>0</v>
      </c>
      <c r="M91" s="184">
        <f>L91*'Subsidy Analysis'!G12</f>
        <v>0</v>
      </c>
      <c r="N91" s="52"/>
      <c r="O91" s="140">
        <f t="shared" si="44"/>
        <v>0</v>
      </c>
      <c r="P91" s="176">
        <f>O91*'Subsidy Analysis'!J12</f>
        <v>0</v>
      </c>
      <c r="Q91" s="52"/>
      <c r="R91" s="148">
        <f t="shared" si="45"/>
        <v>0</v>
      </c>
      <c r="S91" s="180">
        <f>R91*'Subsidy Analysis'!M12</f>
        <v>0</v>
      </c>
      <c r="U91">
        <f t="shared" si="33"/>
        <v>0</v>
      </c>
    </row>
    <row r="92" spans="1:21" ht="14.25" customHeight="1" x14ac:dyDescent="0.2">
      <c r="A92" s="20"/>
      <c r="B92" s="1">
        <f t="shared" si="42"/>
        <v>0</v>
      </c>
      <c r="C92" s="62"/>
      <c r="D92" s="1">
        <v>110</v>
      </c>
      <c r="E92" s="52"/>
      <c r="G92" s="15">
        <f>Assumptions!F43</f>
        <v>0</v>
      </c>
      <c r="H92" s="15"/>
      <c r="I92" s="134">
        <f>$I$86*G92</f>
        <v>0</v>
      </c>
      <c r="J92" s="184">
        <f>I92*'Subsidy Analysis'!D13</f>
        <v>0</v>
      </c>
      <c r="K92" s="52"/>
      <c r="L92" s="134">
        <f t="shared" si="43"/>
        <v>0</v>
      </c>
      <c r="M92" s="184">
        <f>L92*'Subsidy Analysis'!G13</f>
        <v>0</v>
      </c>
      <c r="N92" s="52"/>
      <c r="O92" s="140">
        <f t="shared" si="44"/>
        <v>0</v>
      </c>
      <c r="P92" s="176">
        <f>O92*'Subsidy Analysis'!J13</f>
        <v>0</v>
      </c>
      <c r="Q92" s="52"/>
      <c r="R92" s="148">
        <f t="shared" si="45"/>
        <v>0</v>
      </c>
      <c r="S92" s="180">
        <f>R92*'Subsidy Analysis'!M13</f>
        <v>0</v>
      </c>
      <c r="U92">
        <f t="shared" si="33"/>
        <v>0</v>
      </c>
    </row>
    <row r="93" spans="1:21" ht="14.25" customHeight="1" x14ac:dyDescent="0.2">
      <c r="A93" s="20"/>
      <c r="B93" s="1">
        <f t="shared" si="42"/>
        <v>190.000077</v>
      </c>
      <c r="C93" s="62"/>
      <c r="D93" s="1">
        <v>120</v>
      </c>
      <c r="E93" s="52"/>
      <c r="G93" s="15">
        <f>Assumptions!F44</f>
        <v>0.202343</v>
      </c>
      <c r="H93" s="15"/>
      <c r="I93" s="134">
        <f t="shared" si="41"/>
        <v>66.500026949999992</v>
      </c>
      <c r="J93" s="184">
        <f>I93*'Subsidy Analysis'!D14</f>
        <v>25004.010133199998</v>
      </c>
      <c r="K93" s="52"/>
      <c r="L93" s="134">
        <f t="shared" si="43"/>
        <v>70.300028490000003</v>
      </c>
      <c r="M93" s="184">
        <f>L93*'Subsidy Analysis'!G14</f>
        <v>42320.617150980004</v>
      </c>
      <c r="N93" s="59"/>
      <c r="O93" s="140">
        <f t="shared" si="44"/>
        <v>30.400012320000002</v>
      </c>
      <c r="P93" s="176">
        <f>O93*'Subsidy Analysis'!J14</f>
        <v>22435.209092160003</v>
      </c>
      <c r="Q93" s="52"/>
      <c r="R93" s="148">
        <f t="shared" si="45"/>
        <v>22.800009239999998</v>
      </c>
      <c r="S93" s="180">
        <f>R93*'Subsidy Analysis'!M14</f>
        <v>20839.208445359996</v>
      </c>
      <c r="U93">
        <f t="shared" si="33"/>
        <v>190.000077</v>
      </c>
    </row>
    <row r="94" spans="1:21" x14ac:dyDescent="0.2">
      <c r="A94" s="20"/>
      <c r="B94" s="5">
        <f t="shared" si="42"/>
        <v>220.66499999999999</v>
      </c>
      <c r="C94" s="62"/>
      <c r="D94" s="1">
        <v>140</v>
      </c>
      <c r="E94" s="52"/>
      <c r="G94" s="15">
        <f>Assumptions!F45</f>
        <v>0.23499999999999999</v>
      </c>
      <c r="H94" s="15"/>
      <c r="I94" s="134">
        <f t="shared" si="41"/>
        <v>77.232749999999996</v>
      </c>
      <c r="J94" s="185">
        <f>I94*'Subsidy Analysis'!D15</f>
        <v>29039.513999999999</v>
      </c>
      <c r="K94" s="52"/>
      <c r="L94" s="135">
        <f t="shared" si="43"/>
        <v>81.646050000000002</v>
      </c>
      <c r="M94" s="185">
        <f>L94*'Subsidy Analysis'!G15</f>
        <v>49150.922100000003</v>
      </c>
      <c r="N94" s="59"/>
      <c r="O94" s="160">
        <f t="shared" si="44"/>
        <v>35.306400000000004</v>
      </c>
      <c r="P94" s="187">
        <f>O94*'Subsidy Analysis'!J15</f>
        <v>26056.123200000002</v>
      </c>
      <c r="Q94" s="52"/>
      <c r="R94" s="149">
        <f t="shared" si="45"/>
        <v>26.479799999999997</v>
      </c>
      <c r="S94" s="188">
        <f>R94*'Subsidy Analysis'!M15</f>
        <v>24202.537199999999</v>
      </c>
      <c r="U94">
        <f t="shared" si="33"/>
        <v>220.66500000000002</v>
      </c>
    </row>
    <row r="95" spans="1:21" x14ac:dyDescent="0.2">
      <c r="A95" s="20" t="s">
        <v>130</v>
      </c>
      <c r="B95" s="20">
        <f>SUM(B87:B94)</f>
        <v>939.66481199999998</v>
      </c>
      <c r="C95" s="129"/>
      <c r="D95" s="130"/>
      <c r="E95" s="131"/>
      <c r="F95" s="4"/>
      <c r="G95" s="132">
        <f>SUM(G87:G94)</f>
        <v>1.0007079999999999</v>
      </c>
      <c r="H95" s="132"/>
      <c r="I95" s="136">
        <f>SUM(I87:I94)</f>
        <v>328.88268419999997</v>
      </c>
      <c r="J95" s="186">
        <f>SUM(J87:J93)</f>
        <v>94620.375259199995</v>
      </c>
      <c r="K95" s="54"/>
      <c r="L95" s="136">
        <f>SUM(L87:L94)</f>
        <v>347.67598043999999</v>
      </c>
      <c r="M95" s="186">
        <f>SUM(M87:M93)</f>
        <v>160150.01812488001</v>
      </c>
      <c r="N95" s="54"/>
      <c r="O95" s="143">
        <f>SUM(O87:O94)</f>
        <v>150.34636992</v>
      </c>
      <c r="P95" s="179">
        <f>SUM(P87:P93)</f>
        <v>84899.497800960002</v>
      </c>
      <c r="Q95" s="54"/>
      <c r="R95" s="150">
        <f>SUM(R87:R94)</f>
        <v>112.75977743999999</v>
      </c>
      <c r="S95" s="183">
        <f>SUM(S87:S93)</f>
        <v>78859.899380160001</v>
      </c>
      <c r="U95">
        <f t="shared" si="33"/>
        <v>939.66481199999998</v>
      </c>
    </row>
    <row r="96" spans="1:21" x14ac:dyDescent="0.2">
      <c r="A96" s="20"/>
      <c r="B96" s="1"/>
      <c r="C96" s="89"/>
      <c r="D96" s="16"/>
      <c r="E96" s="56"/>
      <c r="F96" s="62"/>
      <c r="G96" s="15"/>
      <c r="H96" s="15"/>
      <c r="I96" s="62"/>
      <c r="J96" s="3"/>
      <c r="K96" s="52"/>
      <c r="L96" s="62"/>
      <c r="M96" s="3"/>
      <c r="N96" s="52"/>
      <c r="O96" s="62"/>
      <c r="P96" s="3"/>
      <c r="Q96" s="52"/>
      <c r="R96" s="62"/>
      <c r="S96" s="3"/>
      <c r="U96">
        <f t="shared" si="33"/>
        <v>0</v>
      </c>
    </row>
    <row r="97" spans="1:21" x14ac:dyDescent="0.2">
      <c r="A97" s="20" t="s">
        <v>128</v>
      </c>
      <c r="B97" s="1"/>
      <c r="C97" s="89"/>
      <c r="D97" s="16"/>
      <c r="E97" s="56"/>
      <c r="F97" s="62"/>
      <c r="G97" s="15"/>
      <c r="H97" s="15"/>
      <c r="I97" s="385" t="s">
        <v>70</v>
      </c>
      <c r="J97" s="385"/>
      <c r="K97" s="52"/>
      <c r="L97" s="385" t="s">
        <v>71</v>
      </c>
      <c r="M97" s="385"/>
      <c r="N97" s="55"/>
      <c r="O97" s="386" t="s">
        <v>72</v>
      </c>
      <c r="P97" s="386"/>
      <c r="Q97" s="55"/>
      <c r="R97" s="387" t="s">
        <v>73</v>
      </c>
      <c r="S97" s="387"/>
      <c r="U97" t="e">
        <f t="shared" si="33"/>
        <v>#VALUE!</v>
      </c>
    </row>
    <row r="98" spans="1:21" x14ac:dyDescent="0.2">
      <c r="A98" s="20"/>
      <c r="B98" s="46" t="s">
        <v>58</v>
      </c>
      <c r="C98" s="89"/>
      <c r="D98" s="9" t="s">
        <v>55</v>
      </c>
      <c r="E98" s="56"/>
      <c r="F98" s="67" t="s">
        <v>117</v>
      </c>
      <c r="G98" s="128" t="s">
        <v>129</v>
      </c>
      <c r="H98" s="128"/>
      <c r="I98" s="213" t="s">
        <v>87</v>
      </c>
      <c r="J98" s="137" t="s">
        <v>88</v>
      </c>
      <c r="K98" s="52"/>
      <c r="L98" s="133" t="s">
        <v>87</v>
      </c>
      <c r="M98" s="137" t="s">
        <v>88</v>
      </c>
      <c r="N98" s="52"/>
      <c r="O98" s="139" t="s">
        <v>87</v>
      </c>
      <c r="P98" s="144" t="s">
        <v>88</v>
      </c>
      <c r="Q98" s="52"/>
      <c r="R98" s="146" t="s">
        <v>87</v>
      </c>
      <c r="S98" s="151" t="s">
        <v>88</v>
      </c>
      <c r="U98" t="e">
        <f t="shared" si="33"/>
        <v>#VALUE!</v>
      </c>
    </row>
    <row r="99" spans="1:21" x14ac:dyDescent="0.2">
      <c r="A99" s="20"/>
      <c r="B99" s="1">
        <f t="shared" ref="B99:B106" si="46">B87</f>
        <v>0</v>
      </c>
      <c r="C99" s="89"/>
      <c r="D99" s="18">
        <v>30</v>
      </c>
      <c r="E99" s="56"/>
      <c r="F99" s="62">
        <f>L99+O99+R99</f>
        <v>0</v>
      </c>
      <c r="G99" s="189" t="str">
        <f>IF(F99=0,"N/A",F99/B87)</f>
        <v>N/A</v>
      </c>
      <c r="H99" s="189"/>
      <c r="I99" s="82">
        <f>I87*'Subsidy Analysis'!$C$118</f>
        <v>0</v>
      </c>
      <c r="J99" s="153" t="str">
        <f>IF(I99=0,"N/A",I99/J87)</f>
        <v>N/A</v>
      </c>
      <c r="K99" s="52"/>
      <c r="L99" s="82">
        <f>L87*'Subsidy Analysis'!$F$118</f>
        <v>0</v>
      </c>
      <c r="M99" s="153" t="str">
        <f>IF(L99=0,"N/A",L99/M87)</f>
        <v>N/A</v>
      </c>
      <c r="N99" s="52"/>
      <c r="O99" s="76">
        <f>O87*'Subsidy Analysis'!$I$118</f>
        <v>0</v>
      </c>
      <c r="P99" s="154" t="str">
        <f>IF(O99=0,"N/A",O99/P87)</f>
        <v>N/A</v>
      </c>
      <c r="Q99" s="52"/>
      <c r="R99" s="72">
        <f>R87*'Subsidy Analysis'!$L$118</f>
        <v>0</v>
      </c>
      <c r="S99" s="155" t="str">
        <f>IF(R99=0,"N/A",R99/S87)</f>
        <v>N/A</v>
      </c>
      <c r="U99">
        <f t="shared" si="33"/>
        <v>0</v>
      </c>
    </row>
    <row r="100" spans="1:21" x14ac:dyDescent="0.2">
      <c r="A100" s="20"/>
      <c r="B100" s="1">
        <f t="shared" si="46"/>
        <v>0</v>
      </c>
      <c r="C100" s="89"/>
      <c r="D100" s="1">
        <v>50</v>
      </c>
      <c r="E100" s="56"/>
      <c r="F100" s="62">
        <f t="shared" ref="F100:F106" si="47">L100+O100+R100+I100</f>
        <v>0</v>
      </c>
      <c r="G100" s="189" t="str">
        <f t="shared" ref="G100:G106" si="48">IF(F100=0,"N/A",F100/B88)</f>
        <v>N/A</v>
      </c>
      <c r="H100" s="189"/>
      <c r="I100" s="82">
        <f>I88*'Subsidy Analysis'!$C$118</f>
        <v>0</v>
      </c>
      <c r="J100" s="153" t="str">
        <f t="shared" ref="J100:J106" si="49">IF(I100=0,"N/A",I100/J88)</f>
        <v>N/A</v>
      </c>
      <c r="K100" s="52"/>
      <c r="L100" s="82">
        <f>L88*'Subsidy Analysis'!$F$118</f>
        <v>0</v>
      </c>
      <c r="M100" s="153" t="str">
        <f t="shared" ref="M100:M106" si="50">IF(L100=0,"N/A",L100/M88)</f>
        <v>N/A</v>
      </c>
      <c r="N100" s="52"/>
      <c r="O100" s="76">
        <f>O88*'Subsidy Analysis'!$I$118</f>
        <v>0</v>
      </c>
      <c r="P100" s="154" t="str">
        <f t="shared" ref="P100:P106" si="51">IF(O100=0,"N/A",O100/P88)</f>
        <v>N/A</v>
      </c>
      <c r="Q100" s="52"/>
      <c r="R100" s="72">
        <f>R88*'Subsidy Analysis'!$L$118</f>
        <v>0</v>
      </c>
      <c r="S100" s="155" t="str">
        <f t="shared" ref="S100:S106" si="52">IF(R100=0,"N/A",R100/S88)</f>
        <v>N/A</v>
      </c>
      <c r="U100">
        <f t="shared" si="33"/>
        <v>0</v>
      </c>
    </row>
    <row r="101" spans="1:21" x14ac:dyDescent="0.2">
      <c r="A101" s="20"/>
      <c r="B101" s="1">
        <f t="shared" si="46"/>
        <v>0</v>
      </c>
      <c r="C101" s="89"/>
      <c r="D101" s="1">
        <v>60</v>
      </c>
      <c r="E101" s="56"/>
      <c r="F101" s="62">
        <f t="shared" si="47"/>
        <v>0</v>
      </c>
      <c r="G101" s="189" t="str">
        <f t="shared" si="48"/>
        <v>N/A</v>
      </c>
      <c r="H101" s="189"/>
      <c r="I101" s="82">
        <f>I89*'Subsidy Analysis'!$C$118</f>
        <v>0</v>
      </c>
      <c r="J101" s="153" t="str">
        <f t="shared" si="49"/>
        <v>N/A</v>
      </c>
      <c r="K101" s="52"/>
      <c r="L101" s="82">
        <f>L89*'Subsidy Analysis'!$F$118</f>
        <v>0</v>
      </c>
      <c r="M101" s="153" t="str">
        <f t="shared" si="50"/>
        <v>N/A</v>
      </c>
      <c r="N101" s="52"/>
      <c r="O101" s="76">
        <f>O89*'Subsidy Analysis'!$I$118</f>
        <v>0</v>
      </c>
      <c r="P101" s="154" t="str">
        <f t="shared" si="51"/>
        <v>N/A</v>
      </c>
      <c r="Q101" s="52"/>
      <c r="R101" s="72">
        <f>R89*'Subsidy Analysis'!$L$118</f>
        <v>0</v>
      </c>
      <c r="S101" s="155" t="str">
        <f t="shared" si="52"/>
        <v>N/A</v>
      </c>
      <c r="U101">
        <f t="shared" si="33"/>
        <v>0</v>
      </c>
    </row>
    <row r="102" spans="1:21" x14ac:dyDescent="0.2">
      <c r="A102" s="20"/>
      <c r="B102" s="1">
        <f t="shared" si="46"/>
        <v>528.99973499999999</v>
      </c>
      <c r="C102" s="89"/>
      <c r="D102" s="1">
        <v>80</v>
      </c>
      <c r="E102" s="56"/>
      <c r="F102" s="62">
        <f t="shared" si="47"/>
        <v>185962715.3428275</v>
      </c>
      <c r="G102" s="189">
        <f t="shared" si="48"/>
        <v>351536.5</v>
      </c>
      <c r="H102" s="189"/>
      <c r="I102" s="82">
        <f>I90*'Subsidy Analysis'!$C$118</f>
        <v>48731455.588199995</v>
      </c>
      <c r="J102" s="153">
        <f>IF(I102=0,"N/A",I102/J90)</f>
        <v>700</v>
      </c>
      <c r="K102" s="52"/>
      <c r="L102" s="82">
        <f>L90*'Subsidy Analysis'!$F$118</f>
        <v>73643375.608687505</v>
      </c>
      <c r="M102" s="153">
        <f t="shared" si="50"/>
        <v>625</v>
      </c>
      <c r="N102" s="52"/>
      <c r="O102" s="76">
        <f>O90*'Subsidy Analysis'!$I$118</f>
        <v>37478573.225280002</v>
      </c>
      <c r="P102" s="154">
        <f t="shared" si="51"/>
        <v>600</v>
      </c>
      <c r="Q102" s="52"/>
      <c r="R102" s="72">
        <f>R90*'Subsidy Analysis'!$L$118</f>
        <v>26109310.920659997</v>
      </c>
      <c r="S102" s="155">
        <f t="shared" si="52"/>
        <v>449.99999999999994</v>
      </c>
      <c r="U102">
        <f t="shared" si="33"/>
        <v>185962715.34282747</v>
      </c>
    </row>
    <row r="103" spans="1:21" ht="14.25" customHeight="1" x14ac:dyDescent="0.2">
      <c r="A103" s="20"/>
      <c r="B103" s="1">
        <f t="shared" si="46"/>
        <v>0</v>
      </c>
      <c r="C103" s="89"/>
      <c r="D103" s="1">
        <v>100</v>
      </c>
      <c r="E103" s="56"/>
      <c r="F103" s="62">
        <f t="shared" si="47"/>
        <v>0</v>
      </c>
      <c r="G103" s="189" t="str">
        <f t="shared" si="48"/>
        <v>N/A</v>
      </c>
      <c r="H103" s="189"/>
      <c r="I103" s="82">
        <f>I91*'Subsidy Analysis'!$C$118</f>
        <v>0</v>
      </c>
      <c r="J103" s="153" t="str">
        <f t="shared" si="49"/>
        <v>N/A</v>
      </c>
      <c r="K103" s="52"/>
      <c r="L103" s="82">
        <f>L91*'Subsidy Analysis'!$F$118</f>
        <v>0</v>
      </c>
      <c r="M103" s="153" t="str">
        <f t="shared" si="50"/>
        <v>N/A</v>
      </c>
      <c r="N103" s="52"/>
      <c r="O103" s="76">
        <f>O91*'Subsidy Analysis'!$I$118</f>
        <v>0</v>
      </c>
      <c r="P103" s="154" t="str">
        <f t="shared" si="51"/>
        <v>N/A</v>
      </c>
      <c r="Q103" s="52"/>
      <c r="R103" s="72">
        <f>R91*'Subsidy Analysis'!$L$118</f>
        <v>0</v>
      </c>
      <c r="S103" s="155" t="str">
        <f t="shared" si="52"/>
        <v>N/A</v>
      </c>
      <c r="U103">
        <f t="shared" si="33"/>
        <v>0</v>
      </c>
    </row>
    <row r="104" spans="1:21" ht="14.25" customHeight="1" x14ac:dyDescent="0.2">
      <c r="A104" s="20"/>
      <c r="B104" s="1">
        <f t="shared" si="46"/>
        <v>0</v>
      </c>
      <c r="C104" s="89"/>
      <c r="D104" s="1">
        <v>110</v>
      </c>
      <c r="E104" s="56"/>
      <c r="F104" s="62">
        <f t="shared" si="47"/>
        <v>0</v>
      </c>
      <c r="G104" s="189" t="str">
        <f t="shared" si="48"/>
        <v>N/A</v>
      </c>
      <c r="H104" s="189"/>
      <c r="I104" s="82">
        <f>I92*'Subsidy Analysis'!$C$118</f>
        <v>0</v>
      </c>
      <c r="J104" s="153" t="str">
        <f t="shared" si="49"/>
        <v>N/A</v>
      </c>
      <c r="K104" s="52"/>
      <c r="L104" s="82">
        <f>L92*'Subsidy Analysis'!$F$118</f>
        <v>0</v>
      </c>
      <c r="M104" s="153" t="str">
        <f t="shared" si="50"/>
        <v>N/A</v>
      </c>
      <c r="N104" s="52"/>
      <c r="O104" s="76">
        <f>O92*'Subsidy Analysis'!$I$118</f>
        <v>0</v>
      </c>
      <c r="P104" s="154" t="str">
        <f t="shared" si="51"/>
        <v>N/A</v>
      </c>
      <c r="Q104" s="52"/>
      <c r="R104" s="72">
        <f>R92*'Subsidy Analysis'!$L$118</f>
        <v>0</v>
      </c>
      <c r="S104" s="155" t="str">
        <f t="shared" si="52"/>
        <v>N/A</v>
      </c>
      <c r="U104">
        <f t="shared" si="33"/>
        <v>0</v>
      </c>
    </row>
    <row r="105" spans="1:21" ht="14.25" customHeight="1" x14ac:dyDescent="0.2">
      <c r="A105" s="20"/>
      <c r="B105" s="1">
        <f t="shared" si="46"/>
        <v>190.000077</v>
      </c>
      <c r="C105" s="89"/>
      <c r="D105" s="1">
        <v>120</v>
      </c>
      <c r="E105" s="56"/>
      <c r="F105" s="62">
        <f t="shared" si="47"/>
        <v>66791962.068310499</v>
      </c>
      <c r="G105" s="189">
        <f t="shared" si="48"/>
        <v>351536.5</v>
      </c>
      <c r="H105" s="189"/>
      <c r="I105" s="82">
        <f>I93*'Subsidy Analysis'!$C$118</f>
        <v>17502807.093239997</v>
      </c>
      <c r="J105" s="153">
        <f t="shared" si="49"/>
        <v>699.99999999999989</v>
      </c>
      <c r="K105" s="52"/>
      <c r="L105" s="82">
        <f>L93*'Subsidy Analysis'!$F$118</f>
        <v>26450385.719362501</v>
      </c>
      <c r="M105" s="153">
        <f t="shared" si="50"/>
        <v>625</v>
      </c>
      <c r="N105" s="52"/>
      <c r="O105" s="76">
        <f>O93*'Subsidy Analysis'!$I$118</f>
        <v>13461125.455296</v>
      </c>
      <c r="P105" s="154">
        <f t="shared" si="51"/>
        <v>599.99999999999989</v>
      </c>
      <c r="Q105" s="52"/>
      <c r="R105" s="72">
        <f>R93*'Subsidy Analysis'!$L$118</f>
        <v>9377643.8004119992</v>
      </c>
      <c r="S105" s="155">
        <f t="shared" si="52"/>
        <v>450.00000000000006</v>
      </c>
      <c r="U105">
        <f t="shared" si="33"/>
        <v>66791962.068310499</v>
      </c>
    </row>
    <row r="106" spans="1:21" x14ac:dyDescent="0.2">
      <c r="A106" s="20"/>
      <c r="B106" s="5">
        <f t="shared" si="46"/>
        <v>220.66499999999999</v>
      </c>
      <c r="C106" s="89"/>
      <c r="D106" s="1">
        <v>140</v>
      </c>
      <c r="E106" s="56"/>
      <c r="F106" s="62">
        <f t="shared" si="47"/>
        <v>77571801.772499993</v>
      </c>
      <c r="G106" s="190">
        <f t="shared" si="48"/>
        <v>351536.5</v>
      </c>
      <c r="H106" s="190"/>
      <c r="I106" s="83">
        <f>I94*'Subsidy Analysis'!$C$118</f>
        <v>20327659.800000001</v>
      </c>
      <c r="J106" s="153">
        <f t="shared" si="49"/>
        <v>700</v>
      </c>
      <c r="K106" s="52"/>
      <c r="L106" s="83">
        <f>L94*'Subsidy Analysis'!$F$118</f>
        <v>30719326.3125</v>
      </c>
      <c r="M106" s="153">
        <f t="shared" si="50"/>
        <v>625</v>
      </c>
      <c r="N106" s="52"/>
      <c r="O106" s="77">
        <f>O94*'Subsidy Analysis'!$I$118</f>
        <v>15633673.920000002</v>
      </c>
      <c r="P106" s="154">
        <f t="shared" si="51"/>
        <v>600</v>
      </c>
      <c r="Q106" s="52"/>
      <c r="R106" s="73">
        <f>R94*'Subsidy Analysis'!$L$118</f>
        <v>10891141.739999998</v>
      </c>
      <c r="S106" s="155">
        <f t="shared" si="52"/>
        <v>449.99999999999994</v>
      </c>
      <c r="U106">
        <f t="shared" si="33"/>
        <v>77571801.772499993</v>
      </c>
    </row>
    <row r="107" spans="1:21" x14ac:dyDescent="0.2">
      <c r="A107" s="20" t="s">
        <v>130</v>
      </c>
      <c r="B107" s="20">
        <f>SUM(B99:B106)</f>
        <v>939.66481199999998</v>
      </c>
      <c r="C107" s="129"/>
      <c r="D107" s="20"/>
      <c r="E107" s="131"/>
      <c r="F107" s="69">
        <f>SUM(F99:F106)</f>
        <v>330326479.18363798</v>
      </c>
      <c r="G107" s="191">
        <f>F107/B95</f>
        <v>351536.5</v>
      </c>
      <c r="H107" s="191"/>
      <c r="I107" s="121">
        <f>SUM(I97:I106)</f>
        <v>86561922.481439993</v>
      </c>
      <c r="J107" s="138"/>
      <c r="K107" s="54"/>
      <c r="L107" s="121">
        <f>SUM(L97:L106)</f>
        <v>130813087.64055</v>
      </c>
      <c r="M107" s="138"/>
      <c r="N107" s="54"/>
      <c r="O107" s="117">
        <f>SUM(O97:O106)</f>
        <v>66573372.600576006</v>
      </c>
      <c r="P107" s="145"/>
      <c r="Q107" s="54"/>
      <c r="R107" s="114">
        <f>SUM(R97:R106)</f>
        <v>46378096.461071998</v>
      </c>
      <c r="S107" s="152"/>
      <c r="U107">
        <f t="shared" si="33"/>
        <v>330326479.18363798</v>
      </c>
    </row>
    <row r="108" spans="1:21" x14ac:dyDescent="0.2">
      <c r="A108" s="20"/>
      <c r="B108" s="1"/>
      <c r="C108" s="89"/>
      <c r="D108" s="16"/>
      <c r="E108" s="56"/>
      <c r="F108" s="62"/>
      <c r="G108" s="15"/>
      <c r="H108" s="15"/>
      <c r="I108" s="62"/>
      <c r="J108" s="3"/>
      <c r="K108" s="52"/>
      <c r="L108" s="62"/>
      <c r="M108" s="3"/>
      <c r="N108" s="52"/>
      <c r="O108" s="62"/>
      <c r="P108" s="3"/>
      <c r="Q108" s="52"/>
      <c r="R108" s="62"/>
      <c r="S108" s="3"/>
      <c r="U108">
        <f t="shared" si="33"/>
        <v>0</v>
      </c>
    </row>
    <row r="109" spans="1:21" x14ac:dyDescent="0.2">
      <c r="A109" s="20" t="s">
        <v>57</v>
      </c>
      <c r="B109" s="1"/>
      <c r="C109" s="62"/>
      <c r="D109" s="1"/>
      <c r="E109" s="52"/>
      <c r="F109" s="62"/>
      <c r="G109" s="1"/>
      <c r="H109" s="1"/>
      <c r="I109" s="385" t="s">
        <v>70</v>
      </c>
      <c r="J109" s="385"/>
      <c r="K109" s="52"/>
      <c r="L109" s="385" t="s">
        <v>71</v>
      </c>
      <c r="M109" s="385"/>
      <c r="N109" s="55"/>
      <c r="O109" s="386" t="s">
        <v>72</v>
      </c>
      <c r="P109" s="386"/>
      <c r="Q109" s="55"/>
      <c r="R109" s="387" t="s">
        <v>73</v>
      </c>
      <c r="S109" s="387"/>
      <c r="U109" t="e">
        <f t="shared" si="33"/>
        <v>#VALUE!</v>
      </c>
    </row>
    <row r="110" spans="1:21" x14ac:dyDescent="0.2">
      <c r="A110" s="9"/>
      <c r="B110" s="46" t="s">
        <v>58</v>
      </c>
      <c r="C110" s="67"/>
      <c r="D110" s="9" t="s">
        <v>55</v>
      </c>
      <c r="E110" s="55"/>
      <c r="F110" s="67" t="s">
        <v>117</v>
      </c>
      <c r="G110" s="9" t="s">
        <v>129</v>
      </c>
      <c r="H110" s="9"/>
      <c r="I110" s="213" t="s">
        <v>117</v>
      </c>
      <c r="J110" s="24" t="s">
        <v>118</v>
      </c>
      <c r="K110" s="55"/>
      <c r="L110" s="133" t="s">
        <v>117</v>
      </c>
      <c r="M110" s="24" t="s">
        <v>118</v>
      </c>
      <c r="N110" s="55"/>
      <c r="O110" s="139" t="s">
        <v>117</v>
      </c>
      <c r="P110" s="8" t="s">
        <v>118</v>
      </c>
      <c r="Q110" s="55"/>
      <c r="R110" s="146" t="s">
        <v>117</v>
      </c>
      <c r="S110" s="147" t="s">
        <v>118</v>
      </c>
      <c r="U110" t="e">
        <f t="shared" si="33"/>
        <v>#VALUE!</v>
      </c>
    </row>
    <row r="111" spans="1:21" x14ac:dyDescent="0.2">
      <c r="A111" s="20"/>
      <c r="B111" s="1">
        <f t="shared" ref="B111:B118" si="53">B87</f>
        <v>0</v>
      </c>
      <c r="C111" s="62"/>
      <c r="D111" s="18">
        <v>30</v>
      </c>
      <c r="E111" s="52"/>
      <c r="F111" s="62">
        <f t="shared" ref="F111:F118" si="54">L111+O111+R111+I111</f>
        <v>0</v>
      </c>
      <c r="G111" s="189" t="str">
        <f>IF(F111=0,"N/A",F111/B87)</f>
        <v>N/A</v>
      </c>
      <c r="H111" s="189"/>
      <c r="I111" s="82">
        <f>I87*'Subsidy Analysis'!C44</f>
        <v>0</v>
      </c>
      <c r="J111" s="153" t="str">
        <f>IF(I111=0,"N/A",I111/J87)</f>
        <v>N/A</v>
      </c>
      <c r="K111" s="52"/>
      <c r="L111" s="82">
        <f>L87*'Subsidy Analysis'!F44</f>
        <v>0</v>
      </c>
      <c r="M111" s="153" t="str">
        <f>IF(L111=0,"N/A",L111/M87)</f>
        <v>N/A</v>
      </c>
      <c r="N111" s="52"/>
      <c r="O111" s="76">
        <f>O87*'Subsidy Analysis'!I44</f>
        <v>0</v>
      </c>
      <c r="P111" s="154" t="str">
        <f>IF(O111=0,"N/A",O111/P87)</f>
        <v>N/A</v>
      </c>
      <c r="Q111" s="52"/>
      <c r="R111" s="72">
        <f>R87*'Subsidy Analysis'!L44</f>
        <v>0</v>
      </c>
      <c r="S111" s="155" t="str">
        <f>IF(R111=0,"N/A",R111/S87)</f>
        <v>N/A</v>
      </c>
      <c r="U111">
        <f t="shared" si="33"/>
        <v>0</v>
      </c>
    </row>
    <row r="112" spans="1:21" x14ac:dyDescent="0.2">
      <c r="A112" s="20"/>
      <c r="B112" s="1">
        <f t="shared" si="53"/>
        <v>0</v>
      </c>
      <c r="C112" s="62"/>
      <c r="D112" s="1">
        <v>50</v>
      </c>
      <c r="E112" s="52"/>
      <c r="F112" s="62">
        <f t="shared" si="54"/>
        <v>0</v>
      </c>
      <c r="G112" s="189" t="str">
        <f t="shared" ref="G112:G118" si="55">IF(F112=0,"N/A",F112/B88)</f>
        <v>N/A</v>
      </c>
      <c r="H112" s="189"/>
      <c r="I112" s="82">
        <f>I88*'Subsidy Analysis'!C45</f>
        <v>0</v>
      </c>
      <c r="J112" s="153" t="str">
        <f t="shared" ref="J112:J118" si="56">IF(I112=0,"N/A",I112/J88)</f>
        <v>N/A</v>
      </c>
      <c r="K112" s="52"/>
      <c r="L112" s="82">
        <f>L88*'Subsidy Analysis'!F45</f>
        <v>0</v>
      </c>
      <c r="M112" s="153" t="str">
        <f t="shared" ref="M112:M118" si="57">IF(L112=0,"N/A",L112/M88)</f>
        <v>N/A</v>
      </c>
      <c r="N112" s="52"/>
      <c r="O112" s="76">
        <f>O88*'Subsidy Analysis'!I45</f>
        <v>0</v>
      </c>
      <c r="P112" s="154" t="str">
        <f t="shared" ref="P112:P118" si="58">IF(O112=0,"N/A",O112/P88)</f>
        <v>N/A</v>
      </c>
      <c r="Q112" s="52"/>
      <c r="R112" s="72">
        <f>R88*'Subsidy Analysis'!L45</f>
        <v>0</v>
      </c>
      <c r="S112" s="155" t="str">
        <f t="shared" ref="S112:S118" si="59">IF(R112=0,"N/A",R112/S88)</f>
        <v>N/A</v>
      </c>
      <c r="U112">
        <f t="shared" si="33"/>
        <v>0</v>
      </c>
    </row>
    <row r="113" spans="1:21" x14ac:dyDescent="0.2">
      <c r="A113" s="20"/>
      <c r="B113" s="1">
        <f t="shared" si="53"/>
        <v>0</v>
      </c>
      <c r="C113" s="62"/>
      <c r="D113" s="1">
        <v>60</v>
      </c>
      <c r="E113" s="52"/>
      <c r="F113" s="62">
        <f t="shared" si="54"/>
        <v>0</v>
      </c>
      <c r="G113" s="189" t="str">
        <f t="shared" si="55"/>
        <v>N/A</v>
      </c>
      <c r="H113" s="189"/>
      <c r="I113" s="82">
        <f>I89*'Subsidy Analysis'!C46</f>
        <v>0</v>
      </c>
      <c r="J113" s="153" t="str">
        <f t="shared" si="56"/>
        <v>N/A</v>
      </c>
      <c r="K113" s="52"/>
      <c r="L113" s="82">
        <f>L89*'Subsidy Analysis'!F46</f>
        <v>0</v>
      </c>
      <c r="M113" s="153" t="str">
        <f t="shared" si="57"/>
        <v>N/A</v>
      </c>
      <c r="N113" s="52"/>
      <c r="O113" s="76">
        <f>O89*'Subsidy Analysis'!I46</f>
        <v>0</v>
      </c>
      <c r="P113" s="154" t="str">
        <f t="shared" si="58"/>
        <v>N/A</v>
      </c>
      <c r="Q113" s="52"/>
      <c r="R113" s="72">
        <f>R89*'Subsidy Analysis'!L46</f>
        <v>0</v>
      </c>
      <c r="S113" s="155" t="str">
        <f t="shared" si="59"/>
        <v>N/A</v>
      </c>
      <c r="U113">
        <f t="shared" si="33"/>
        <v>0</v>
      </c>
    </row>
    <row r="114" spans="1:21" x14ac:dyDescent="0.2">
      <c r="A114" s="20"/>
      <c r="B114" s="1">
        <f t="shared" si="53"/>
        <v>528.99973499999999</v>
      </c>
      <c r="C114" s="62"/>
      <c r="D114" s="1">
        <v>80</v>
      </c>
      <c r="E114" s="52"/>
      <c r="F114" s="62">
        <f>L114+O114+R114+I114</f>
        <v>98326817.934207752</v>
      </c>
      <c r="G114" s="189">
        <f t="shared" si="55"/>
        <v>185873.0948782191</v>
      </c>
      <c r="H114" s="189"/>
      <c r="I114" s="82">
        <f>I90*'Subsidy Analysis'!C47</f>
        <v>28684999.22391567</v>
      </c>
      <c r="J114" s="153">
        <f>IF(I114=0,"N/A",I114/J90)</f>
        <v>412.04390910094406</v>
      </c>
      <c r="K114" s="52"/>
      <c r="L114" s="82">
        <f>L90*'Subsidy Analysis'!F47</f>
        <v>33639839.095926583</v>
      </c>
      <c r="M114" s="153">
        <f t="shared" si="57"/>
        <v>285.49613948540764</v>
      </c>
      <c r="N114" s="52"/>
      <c r="O114" s="76">
        <f>O90*'Subsidy Analysis'!I47</f>
        <v>18848402.28046434</v>
      </c>
      <c r="P114" s="154">
        <f t="shared" si="58"/>
        <v>301.74684880080878</v>
      </c>
      <c r="Q114" s="52"/>
      <c r="R114" s="72">
        <f>R90*'Subsidy Analysis'!L47</f>
        <v>17153577.333901163</v>
      </c>
      <c r="S114" s="155">
        <f t="shared" si="59"/>
        <v>295.645864561959</v>
      </c>
      <c r="U114">
        <f t="shared" si="33"/>
        <v>98326817.934207752</v>
      </c>
    </row>
    <row r="115" spans="1:21" ht="13.5" customHeight="1" x14ac:dyDescent="0.2">
      <c r="A115" s="20"/>
      <c r="B115" s="1">
        <f t="shared" si="53"/>
        <v>0</v>
      </c>
      <c r="C115" s="62"/>
      <c r="D115" s="1">
        <v>100</v>
      </c>
      <c r="E115" s="52"/>
      <c r="F115" s="62">
        <f t="shared" si="54"/>
        <v>0</v>
      </c>
      <c r="G115" s="189" t="str">
        <f t="shared" si="55"/>
        <v>N/A</v>
      </c>
      <c r="H115" s="189"/>
      <c r="I115" s="82">
        <f>I91*'Subsidy Analysis'!C48</f>
        <v>0</v>
      </c>
      <c r="J115" s="153" t="str">
        <f t="shared" si="56"/>
        <v>N/A</v>
      </c>
      <c r="K115" s="52"/>
      <c r="L115" s="82">
        <f>L91*'Subsidy Analysis'!F48</f>
        <v>0</v>
      </c>
      <c r="M115" s="153" t="str">
        <f t="shared" si="57"/>
        <v>N/A</v>
      </c>
      <c r="N115" s="52"/>
      <c r="O115" s="76">
        <f>O91*'Subsidy Analysis'!I48</f>
        <v>0</v>
      </c>
      <c r="P115" s="154" t="str">
        <f t="shared" si="58"/>
        <v>N/A</v>
      </c>
      <c r="Q115" s="52"/>
      <c r="R115" s="72">
        <f>R91*'Subsidy Analysis'!L48</f>
        <v>0</v>
      </c>
      <c r="S115" s="155" t="str">
        <f t="shared" si="59"/>
        <v>N/A</v>
      </c>
      <c r="U115">
        <f t="shared" si="33"/>
        <v>0</v>
      </c>
    </row>
    <row r="116" spans="1:21" ht="13.5" customHeight="1" x14ac:dyDescent="0.2">
      <c r="A116" s="20"/>
      <c r="B116" s="1">
        <f t="shared" si="53"/>
        <v>0</v>
      </c>
      <c r="C116" s="62"/>
      <c r="D116" s="1">
        <v>110</v>
      </c>
      <c r="E116" s="52"/>
      <c r="F116" s="62">
        <f t="shared" si="54"/>
        <v>0</v>
      </c>
      <c r="G116" s="189" t="str">
        <f t="shared" si="55"/>
        <v>N/A</v>
      </c>
      <c r="H116" s="189"/>
      <c r="I116" s="82">
        <f>I92*'Subsidy Analysis'!C49</f>
        <v>0</v>
      </c>
      <c r="J116" s="153" t="str">
        <f t="shared" si="56"/>
        <v>N/A</v>
      </c>
      <c r="K116" s="52"/>
      <c r="L116" s="82">
        <f>L92*'Subsidy Analysis'!F49</f>
        <v>0</v>
      </c>
      <c r="M116" s="153" t="str">
        <f t="shared" si="57"/>
        <v>N/A</v>
      </c>
      <c r="N116" s="52"/>
      <c r="O116" s="76">
        <f>O92*'Subsidy Analysis'!I49</f>
        <v>0</v>
      </c>
      <c r="P116" s="154" t="str">
        <f t="shared" si="58"/>
        <v>N/A</v>
      </c>
      <c r="Q116" s="52"/>
      <c r="R116" s="72">
        <f>R92*'Subsidy Analysis'!L49</f>
        <v>0</v>
      </c>
      <c r="S116" s="155" t="str">
        <f t="shared" si="59"/>
        <v>N/A</v>
      </c>
      <c r="U116">
        <f t="shared" si="33"/>
        <v>0</v>
      </c>
    </row>
    <row r="117" spans="1:21" ht="13.5" customHeight="1" x14ac:dyDescent="0.2">
      <c r="A117" s="20"/>
      <c r="B117" s="1">
        <f t="shared" si="53"/>
        <v>190.000077</v>
      </c>
      <c r="C117" s="62"/>
      <c r="D117" s="1">
        <v>120</v>
      </c>
      <c r="E117" s="52"/>
      <c r="F117" s="62">
        <f t="shared" si="54"/>
        <v>45702086.881357171</v>
      </c>
      <c r="G117" s="189">
        <f t="shared" si="55"/>
        <v>240537.20189469802</v>
      </c>
      <c r="H117" s="189"/>
      <c r="I117" s="82">
        <f>I93*'Subsidy Analysis'!C50</f>
        <v>13518258.064761581</v>
      </c>
      <c r="J117" s="153">
        <f t="shared" si="56"/>
        <v>540.64360047639775</v>
      </c>
      <c r="K117" s="52"/>
      <c r="L117" s="82">
        <f>L93*'Subsidy Analysis'!F50</f>
        <v>15724427.781294568</v>
      </c>
      <c r="M117" s="153">
        <f t="shared" si="57"/>
        <v>371.55478440206161</v>
      </c>
      <c r="N117" s="52"/>
      <c r="O117" s="76">
        <f>O93*'Subsidy Analysis'!I50</f>
        <v>8659684.8703345619</v>
      </c>
      <c r="P117" s="154">
        <f t="shared" si="58"/>
        <v>385.98636788995623</v>
      </c>
      <c r="Q117" s="52"/>
      <c r="R117" s="72">
        <f>R93*'Subsidy Analysis'!L50</f>
        <v>7799716.1649664612</v>
      </c>
      <c r="S117" s="155">
        <f t="shared" si="59"/>
        <v>374.28082671264445</v>
      </c>
      <c r="U117">
        <f t="shared" si="33"/>
        <v>45702086.881357178</v>
      </c>
    </row>
    <row r="118" spans="1:21" x14ac:dyDescent="0.2">
      <c r="A118" s="20"/>
      <c r="B118" s="5">
        <f t="shared" si="53"/>
        <v>220.66499999999999</v>
      </c>
      <c r="C118" s="62"/>
      <c r="D118" s="1">
        <v>140</v>
      </c>
      <c r="E118" s="52"/>
      <c r="F118" s="62">
        <f t="shared" si="54"/>
        <v>64963127.727762654</v>
      </c>
      <c r="G118" s="190">
        <f t="shared" si="55"/>
        <v>294397.0621882159</v>
      </c>
      <c r="H118" s="190"/>
      <c r="I118" s="83">
        <f>I94*'Subsidy Analysis'!C51</f>
        <v>19383690.792959794</v>
      </c>
      <c r="J118" s="153">
        <f t="shared" si="56"/>
        <v>667.49363618687948</v>
      </c>
      <c r="K118" s="52"/>
      <c r="L118" s="83">
        <f>L94*'Subsidy Analysis'!F51</f>
        <v>22424981.353622653</v>
      </c>
      <c r="M118" s="153">
        <f t="shared" si="57"/>
        <v>456.24741908194335</v>
      </c>
      <c r="N118" s="52"/>
      <c r="O118" s="77">
        <f>O94*'Subsidy Analysis'!I51</f>
        <v>12223229.842855008</v>
      </c>
      <c r="P118" s="154">
        <f t="shared" si="58"/>
        <v>469.11160762607261</v>
      </c>
      <c r="Q118" s="52"/>
      <c r="R118" s="73">
        <f>R94*'Subsidy Analysis'!L51</f>
        <v>10931225.738325203</v>
      </c>
      <c r="S118" s="155">
        <f t="shared" si="59"/>
        <v>451.65618992727769</v>
      </c>
      <c r="U118">
        <f t="shared" si="33"/>
        <v>64963127.727762654</v>
      </c>
    </row>
    <row r="119" spans="1:21" x14ac:dyDescent="0.2">
      <c r="A119" s="20" t="s">
        <v>131</v>
      </c>
      <c r="B119" s="20">
        <f>SUM(B111:B118)</f>
        <v>939.66481199999998</v>
      </c>
      <c r="C119" s="69"/>
      <c r="D119" s="20"/>
      <c r="E119" s="54"/>
      <c r="F119" s="69">
        <f>SUM(F111:F118)</f>
        <v>208992032.54332757</v>
      </c>
      <c r="G119" s="191">
        <f>F119/M83</f>
        <v>222568.72475327749</v>
      </c>
      <c r="H119" s="191"/>
      <c r="I119" s="121">
        <f>SUM(I111:I118)</f>
        <v>61586948.081637047</v>
      </c>
      <c r="J119" s="138"/>
      <c r="K119" s="54"/>
      <c r="L119" s="121">
        <f>SUM(L109:L118)</f>
        <v>71789248.230843812</v>
      </c>
      <c r="M119" s="138"/>
      <c r="N119" s="54"/>
      <c r="O119" s="117">
        <f>SUM(O109:O118)</f>
        <v>39731316.993653908</v>
      </c>
      <c r="P119" s="145"/>
      <c r="Q119" s="54"/>
      <c r="R119" s="114">
        <f>SUM(R109:R118)</f>
        <v>35884519.237192824</v>
      </c>
      <c r="S119" s="152"/>
      <c r="U119">
        <f t="shared" si="33"/>
        <v>208992032.54332757</v>
      </c>
    </row>
    <row r="120" spans="1:21" x14ac:dyDescent="0.2">
      <c r="A120" s="20"/>
      <c r="B120" s="1" t="s">
        <v>53</v>
      </c>
      <c r="C120" s="62"/>
      <c r="D120" s="1"/>
      <c r="E120" s="52"/>
      <c r="F120" s="62" t="s">
        <v>53</v>
      </c>
      <c r="G120" s="17"/>
      <c r="H120" s="17"/>
      <c r="I120" s="17"/>
      <c r="J120" s="17"/>
      <c r="K120" s="52"/>
      <c r="L120" s="62"/>
      <c r="M120" s="1"/>
      <c r="N120" s="52"/>
      <c r="O120" s="62"/>
      <c r="P120" s="1"/>
      <c r="Q120" s="52"/>
      <c r="R120" s="62"/>
      <c r="S120" s="1"/>
      <c r="U120" s="203" t="s">
        <v>53</v>
      </c>
    </row>
    <row r="121" spans="1:21" x14ac:dyDescent="0.2">
      <c r="A121" s="156" t="s">
        <v>21</v>
      </c>
      <c r="B121" s="157"/>
      <c r="C121" s="158"/>
      <c r="D121" s="157"/>
      <c r="E121" s="157"/>
      <c r="F121" s="201">
        <f>F107-F119</f>
        <v>121334446.64031041</v>
      </c>
      <c r="G121" s="17"/>
      <c r="H121" s="17"/>
      <c r="I121" s="17"/>
      <c r="J121" s="17"/>
      <c r="K121" s="52"/>
      <c r="L121" s="62"/>
      <c r="M121" s="1"/>
      <c r="N121" s="52"/>
      <c r="O121" s="62"/>
      <c r="P121" s="1"/>
      <c r="Q121" s="52"/>
      <c r="R121" s="62"/>
      <c r="S121" s="1"/>
    </row>
  </sheetData>
  <mergeCells count="36">
    <mergeCell ref="I68:J68"/>
    <mergeCell ref="I85:J85"/>
    <mergeCell ref="I97:J97"/>
    <mergeCell ref="I109:J109"/>
    <mergeCell ref="I3:J3"/>
    <mergeCell ref="I15:J15"/>
    <mergeCell ref="I27:J27"/>
    <mergeCell ref="I44:J44"/>
    <mergeCell ref="I56:J56"/>
    <mergeCell ref="L3:M3"/>
    <mergeCell ref="O3:P3"/>
    <mergeCell ref="R3:S3"/>
    <mergeCell ref="L44:M44"/>
    <mergeCell ref="O44:P44"/>
    <mergeCell ref="R44:S44"/>
    <mergeCell ref="L15:M15"/>
    <mergeCell ref="O15:P15"/>
    <mergeCell ref="R15:S15"/>
    <mergeCell ref="L27:M27"/>
    <mergeCell ref="O27:P27"/>
    <mergeCell ref="R27:S27"/>
    <mergeCell ref="L56:M56"/>
    <mergeCell ref="O56:P56"/>
    <mergeCell ref="R56:S56"/>
    <mergeCell ref="O97:P97"/>
    <mergeCell ref="R97:S97"/>
    <mergeCell ref="L68:M68"/>
    <mergeCell ref="O68:P68"/>
    <mergeCell ref="R68:S68"/>
    <mergeCell ref="L109:M109"/>
    <mergeCell ref="O109:P109"/>
    <mergeCell ref="R109:S109"/>
    <mergeCell ref="L85:M85"/>
    <mergeCell ref="O85:P85"/>
    <mergeCell ref="R85:S85"/>
    <mergeCell ref="L97:M97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0"/>
  <sheetViews>
    <sheetView tabSelected="1" topLeftCell="B25" workbookViewId="0">
      <selection activeCell="B53" sqref="A53:XFD104"/>
    </sheetView>
  </sheetViews>
  <sheetFormatPr defaultColWidth="8.85546875" defaultRowHeight="12.75" x14ac:dyDescent="0.2"/>
  <cols>
    <col min="1" max="1" width="4.42578125" customWidth="1"/>
    <col min="2" max="2" width="7.5703125" customWidth="1"/>
    <col min="3" max="3" width="30.28515625" style="4" customWidth="1"/>
    <col min="4" max="4" width="15.7109375" style="162" customWidth="1"/>
    <col min="5" max="5" width="14.42578125" customWidth="1"/>
    <col min="6" max="6" width="16.42578125" customWidth="1"/>
    <col min="7" max="7" width="16.42578125" bestFit="1" customWidth="1"/>
    <col min="8" max="10" width="12.7109375" customWidth="1"/>
    <col min="11" max="11" width="7.28515625" customWidth="1"/>
    <col min="12" max="12" width="15.85546875" customWidth="1"/>
    <col min="13" max="13" width="12.42578125" customWidth="1"/>
    <col min="14" max="14" width="11.85546875" customWidth="1"/>
    <col min="15" max="15" width="12.28515625" customWidth="1"/>
    <col min="16" max="16" width="12" customWidth="1"/>
    <col min="17" max="17" width="10.85546875" customWidth="1"/>
    <col min="18" max="18" width="10.140625" bestFit="1" customWidth="1"/>
  </cols>
  <sheetData>
    <row r="1" spans="2:11" x14ac:dyDescent="0.2">
      <c r="B1" s="245"/>
      <c r="C1" s="354" t="s">
        <v>53</v>
      </c>
      <c r="D1" s="247"/>
      <c r="E1" s="359"/>
      <c r="F1" s="359"/>
      <c r="G1" s="359"/>
      <c r="H1" s="359"/>
      <c r="I1" s="359"/>
      <c r="J1" s="359"/>
      <c r="K1" s="249"/>
    </row>
    <row r="2" spans="2:11" x14ac:dyDescent="0.2">
      <c r="B2" s="250"/>
      <c r="C2" s="355"/>
      <c r="D2" s="252"/>
      <c r="E2" s="358" t="s">
        <v>53</v>
      </c>
      <c r="F2" s="343" t="s">
        <v>53</v>
      </c>
      <c r="G2" s="358" t="s">
        <v>53</v>
      </c>
      <c r="H2" s="332" t="s">
        <v>26</v>
      </c>
      <c r="I2" s="333" t="s">
        <v>26</v>
      </c>
      <c r="J2" s="334" t="s">
        <v>26</v>
      </c>
      <c r="K2" s="254"/>
    </row>
    <row r="3" spans="2:11" x14ac:dyDescent="0.2">
      <c r="B3" s="250"/>
      <c r="C3" s="355" t="str">
        <f>Assumptions!B37</f>
        <v>AMI</v>
      </c>
      <c r="D3" s="252"/>
      <c r="E3" s="332" t="str">
        <f>Assumptions!D37</f>
        <v>Scenario 1</v>
      </c>
      <c r="F3" s="333" t="str">
        <f>Assumptions!E37</f>
        <v>Scenario 2</v>
      </c>
      <c r="G3" s="334" t="str">
        <f>Assumptions!F37</f>
        <v>Scenario 3</v>
      </c>
      <c r="H3" s="332" t="s">
        <v>8</v>
      </c>
      <c r="I3" s="333" t="s">
        <v>9</v>
      </c>
      <c r="J3" s="334" t="s">
        <v>10</v>
      </c>
      <c r="K3" s="254"/>
    </row>
    <row r="4" spans="2:11" x14ac:dyDescent="0.2">
      <c r="B4" s="250"/>
      <c r="C4" s="355"/>
      <c r="D4" s="252">
        <f>Assumptions!C38</f>
        <v>30</v>
      </c>
      <c r="E4" s="335">
        <f>Assumptions!D38</f>
        <v>0</v>
      </c>
      <c r="F4" s="336">
        <f>Assumptions!E38</f>
        <v>0</v>
      </c>
      <c r="G4" s="337">
        <f>Assumptions!F38</f>
        <v>0</v>
      </c>
      <c r="H4" s="338"/>
      <c r="I4" s="339"/>
      <c r="J4" s="340"/>
      <c r="K4" s="254"/>
    </row>
    <row r="5" spans="2:11" x14ac:dyDescent="0.2">
      <c r="B5" s="250"/>
      <c r="C5" s="355"/>
      <c r="D5" s="252">
        <f>Assumptions!C39</f>
        <v>50</v>
      </c>
      <c r="E5" s="335">
        <f>Assumptions!D39</f>
        <v>0</v>
      </c>
      <c r="F5" s="336">
        <f>Assumptions!E39</f>
        <v>0</v>
      </c>
      <c r="G5" s="337">
        <f>Assumptions!F39</f>
        <v>0</v>
      </c>
      <c r="H5" s="338"/>
      <c r="I5" s="339"/>
      <c r="J5" s="340"/>
      <c r="K5" s="254"/>
    </row>
    <row r="6" spans="2:11" x14ac:dyDescent="0.2">
      <c r="B6" s="250"/>
      <c r="C6" s="355"/>
      <c r="D6" s="252">
        <f>Assumptions!C40</f>
        <v>60</v>
      </c>
      <c r="E6" s="335">
        <f>Assumptions!D40</f>
        <v>0</v>
      </c>
      <c r="F6" s="336">
        <f>Assumptions!E40</f>
        <v>0</v>
      </c>
      <c r="G6" s="337">
        <f>Assumptions!F40</f>
        <v>0</v>
      </c>
      <c r="H6" s="338"/>
      <c r="I6" s="339"/>
      <c r="J6" s="340"/>
      <c r="K6" s="254"/>
    </row>
    <row r="7" spans="2:11" x14ac:dyDescent="0.2">
      <c r="B7" s="250"/>
      <c r="C7" s="355"/>
      <c r="D7" s="252">
        <f>Assumptions!C41</f>
        <v>80</v>
      </c>
      <c r="E7" s="335">
        <f>Assumptions!D41</f>
        <v>0</v>
      </c>
      <c r="F7" s="336">
        <f>Assumptions!E41</f>
        <v>0.73574399999999995</v>
      </c>
      <c r="G7" s="337">
        <f>Assumptions!F41</f>
        <v>0.563365</v>
      </c>
      <c r="H7" s="338"/>
      <c r="I7" s="339"/>
      <c r="J7" s="340"/>
      <c r="K7" s="254"/>
    </row>
    <row r="8" spans="2:11" x14ac:dyDescent="0.2">
      <c r="B8" s="250"/>
      <c r="C8" s="355"/>
      <c r="D8" s="252">
        <f>Assumptions!C42</f>
        <v>100</v>
      </c>
      <c r="E8" s="335">
        <f>Assumptions!D42</f>
        <v>0</v>
      </c>
      <c r="F8" s="336">
        <f>Assumptions!E42</f>
        <v>0</v>
      </c>
      <c r="G8" s="337">
        <f>Assumptions!F42</f>
        <v>0</v>
      </c>
      <c r="H8" s="338"/>
      <c r="I8" s="339"/>
      <c r="J8" s="340"/>
      <c r="K8" s="254"/>
    </row>
    <row r="9" spans="2:11" x14ac:dyDescent="0.2">
      <c r="B9" s="250"/>
      <c r="C9" s="355"/>
      <c r="D9" s="252">
        <f>Assumptions!C43</f>
        <v>110</v>
      </c>
      <c r="E9" s="335">
        <f>Assumptions!D43</f>
        <v>0</v>
      </c>
      <c r="F9" s="336">
        <f>Assumptions!E43</f>
        <v>0</v>
      </c>
      <c r="G9" s="337">
        <f>Assumptions!F43</f>
        <v>0</v>
      </c>
      <c r="H9" s="338"/>
      <c r="I9" s="339"/>
      <c r="J9" s="340"/>
      <c r="K9" s="254"/>
    </row>
    <row r="10" spans="2:11" x14ac:dyDescent="0.2">
      <c r="B10" s="250"/>
      <c r="C10" s="355"/>
      <c r="D10" s="252">
        <f>Assumptions!C44</f>
        <v>120</v>
      </c>
      <c r="E10" s="335">
        <f>Assumptions!D44</f>
        <v>0</v>
      </c>
      <c r="F10" s="336">
        <f>Assumptions!E44</f>
        <v>0.26425599999999999</v>
      </c>
      <c r="G10" s="337">
        <f>Assumptions!F44</f>
        <v>0.202343</v>
      </c>
      <c r="H10" s="338"/>
      <c r="I10" s="339"/>
      <c r="J10" s="340"/>
      <c r="K10" s="254"/>
    </row>
    <row r="11" spans="2:11" x14ac:dyDescent="0.2">
      <c r="B11" s="250"/>
      <c r="C11" s="355"/>
      <c r="D11" s="252">
        <f>Assumptions!C45</f>
        <v>140</v>
      </c>
      <c r="E11" s="224">
        <f>Assumptions!D45</f>
        <v>1</v>
      </c>
      <c r="F11" s="232">
        <f>Assumptions!E45</f>
        <v>0</v>
      </c>
      <c r="G11" s="204">
        <f>Assumptions!F45</f>
        <v>0.23499999999999999</v>
      </c>
      <c r="H11" s="338"/>
      <c r="I11" s="339"/>
      <c r="J11" s="340"/>
      <c r="K11" s="254"/>
    </row>
    <row r="12" spans="2:11" x14ac:dyDescent="0.2">
      <c r="B12" s="250"/>
      <c r="C12" s="355"/>
      <c r="D12" s="252" t="str">
        <f>Assumptions!C46</f>
        <v>Total</v>
      </c>
      <c r="E12" s="335">
        <f>Assumptions!D46</f>
        <v>1</v>
      </c>
      <c r="F12" s="336">
        <f>Assumptions!E46</f>
        <v>1</v>
      </c>
      <c r="G12" s="337">
        <f>Assumptions!F46</f>
        <v>1.0007079999999999</v>
      </c>
      <c r="H12" s="338"/>
      <c r="I12" s="339"/>
      <c r="J12" s="340"/>
      <c r="K12" s="254"/>
    </row>
    <row r="13" spans="2:11" x14ac:dyDescent="0.2">
      <c r="B13" s="250"/>
      <c r="C13" s="355"/>
      <c r="D13" s="252"/>
      <c r="E13" s="338"/>
      <c r="F13" s="339"/>
      <c r="G13" s="340"/>
      <c r="H13" s="338"/>
      <c r="I13" s="339"/>
      <c r="J13" s="340"/>
      <c r="K13" s="254"/>
    </row>
    <row r="14" spans="2:11" x14ac:dyDescent="0.2">
      <c r="B14" s="250"/>
      <c r="C14" s="355" t="str">
        <f>Assumptions!B48</f>
        <v>Unit Count</v>
      </c>
      <c r="D14" s="252"/>
      <c r="E14" s="338"/>
      <c r="F14" s="339"/>
      <c r="G14" s="340"/>
      <c r="H14" s="338"/>
      <c r="I14" s="339"/>
      <c r="J14" s="340"/>
      <c r="K14" s="254"/>
    </row>
    <row r="15" spans="2:11" x14ac:dyDescent="0.2">
      <c r="B15" s="250"/>
      <c r="C15" s="355"/>
      <c r="D15" s="252" t="str">
        <f>Assumptions!C49</f>
        <v>Total Units</v>
      </c>
      <c r="E15" s="338">
        <f>Assumptions!D49</f>
        <v>220</v>
      </c>
      <c r="F15" s="339">
        <f>Assumptions!E49</f>
        <v>719</v>
      </c>
      <c r="G15" s="340">
        <f>Assumptions!F49</f>
        <v>939</v>
      </c>
      <c r="H15" s="338"/>
      <c r="I15" s="339"/>
      <c r="J15" s="340"/>
      <c r="K15" s="254"/>
    </row>
    <row r="16" spans="2:11" x14ac:dyDescent="0.2">
      <c r="B16" s="250"/>
      <c r="C16" s="355"/>
      <c r="D16" s="341" t="s">
        <v>70</v>
      </c>
      <c r="E16" s="335">
        <f>Assumptions!D50</f>
        <v>0.35</v>
      </c>
      <c r="F16" s="336">
        <f>Assumptions!E50</f>
        <v>0.35</v>
      </c>
      <c r="G16" s="337">
        <f>Assumptions!F50</f>
        <v>0.35</v>
      </c>
      <c r="H16" s="338"/>
      <c r="I16" s="339"/>
      <c r="J16" s="340"/>
      <c r="K16" s="254"/>
    </row>
    <row r="17" spans="1:12" x14ac:dyDescent="0.2">
      <c r="B17" s="250"/>
      <c r="C17" s="355"/>
      <c r="D17" s="252" t="str">
        <f>Assumptions!C51</f>
        <v>% 1 Bedroom</v>
      </c>
      <c r="E17" s="335">
        <f>Assumptions!D51</f>
        <v>0.37</v>
      </c>
      <c r="F17" s="336">
        <f>Assumptions!E51</f>
        <v>0.37</v>
      </c>
      <c r="G17" s="337">
        <f>Assumptions!F51</f>
        <v>0.37</v>
      </c>
      <c r="H17" s="338"/>
      <c r="I17" s="339"/>
      <c r="J17" s="340"/>
      <c r="K17" s="254"/>
    </row>
    <row r="18" spans="1:12" x14ac:dyDescent="0.2">
      <c r="B18" s="250"/>
      <c r="C18" s="355"/>
      <c r="D18" s="252" t="str">
        <f>Assumptions!C52</f>
        <v>% 2 Bedroom</v>
      </c>
      <c r="E18" s="335">
        <f>Assumptions!D52</f>
        <v>0.16</v>
      </c>
      <c r="F18" s="336">
        <f>Assumptions!E52</f>
        <v>0.16</v>
      </c>
      <c r="G18" s="337">
        <f>Assumptions!F52</f>
        <v>0.16</v>
      </c>
      <c r="H18" s="338"/>
      <c r="I18" s="339"/>
      <c r="J18" s="340"/>
      <c r="K18" s="254"/>
    </row>
    <row r="19" spans="1:12" x14ac:dyDescent="0.2">
      <c r="B19" s="250"/>
      <c r="C19" s="355"/>
      <c r="D19" s="252" t="str">
        <f>Assumptions!C53</f>
        <v>% 3 Bedroom</v>
      </c>
      <c r="E19" s="224">
        <f>Assumptions!D53</f>
        <v>0.12</v>
      </c>
      <c r="F19" s="232">
        <f>Assumptions!E53</f>
        <v>0.12</v>
      </c>
      <c r="G19" s="204">
        <f>Assumptions!F53</f>
        <v>0.12</v>
      </c>
      <c r="H19" s="338"/>
      <c r="I19" s="339"/>
      <c r="J19" s="340"/>
      <c r="K19" s="254"/>
    </row>
    <row r="20" spans="1:12" x14ac:dyDescent="0.2">
      <c r="B20" s="250"/>
      <c r="C20" s="355"/>
      <c r="D20" s="252" t="str">
        <f>Assumptions!C54</f>
        <v>Total Units</v>
      </c>
      <c r="E20" s="338">
        <f>Assumptions!D54</f>
        <v>220</v>
      </c>
      <c r="F20" s="339">
        <f>Assumptions!E54</f>
        <v>719</v>
      </c>
      <c r="G20" s="340">
        <f>Assumptions!F54</f>
        <v>939</v>
      </c>
      <c r="H20" s="338"/>
      <c r="I20" s="339"/>
      <c r="J20" s="340"/>
      <c r="K20" s="254"/>
    </row>
    <row r="21" spans="1:12" x14ac:dyDescent="0.2">
      <c r="B21" s="250"/>
      <c r="C21" s="355"/>
      <c r="D21" s="252"/>
      <c r="E21" s="338"/>
      <c r="F21" s="339"/>
      <c r="G21" s="340"/>
      <c r="H21" s="338"/>
      <c r="I21" s="339"/>
      <c r="J21" s="340"/>
      <c r="K21" s="254"/>
    </row>
    <row r="22" spans="1:12" x14ac:dyDescent="0.2">
      <c r="B22" s="250"/>
      <c r="C22" s="355"/>
      <c r="D22" s="252" t="s">
        <v>19</v>
      </c>
      <c r="E22" s="271">
        <f>(('Subsidy Analysis'!C8*'Development Analysis'!I5)+('Subsidy Analysis'!C9*'Development Analysis'!I6)+('Subsidy Analysis'!C10*'Development Analysis'!I7)+('Subsidy Analysis'!C11*'Development Analysis'!I8)+('Subsidy Analysis'!C12*'Development Analysis'!I9)+('Subsidy Analysis'!C13*'Development Analysis'!I10)+('Subsidy Analysis'!C14*'Development Analysis'!I11)+('Subsidy Analysis'!C15*'Development Analysis'!I12)+('Subsidy Analysis'!F8*'Development Analysis'!L5)+('Subsidy Analysis'!F9*'Development Analysis'!L6)+('Subsidy Analysis'!F10*'Development Analysis'!L7)+('Subsidy Analysis'!F11*'Development Analysis'!L8)+('Subsidy Analysis'!F12*'Development Analysis'!L9)+('Subsidy Analysis'!F13*'Development Analysis'!L10)+('Subsidy Analysis'!F14*'Development Analysis'!L11)+('Subsidy Analysis'!F15*'Development Analysis'!L12)+('Subsidy Analysis'!I8*'Development Analysis'!O5)+('Subsidy Analysis'!I9*'Development Analysis'!O6)+('Subsidy Analysis'!I10*'Development Analysis'!O7)+('Subsidy Analysis'!I11*'Development Analysis'!O8)+('Subsidy Analysis'!I12*'Development Analysis'!O9)+('Subsidy Analysis'!I13*'Development Analysis'!O10)+('Subsidy Analysis'!I14*'Development Analysis'!O11)+('Subsidy Analysis'!I15*'Development Analysis'!O12)+('Subsidy Analysis'!L8*'Development Analysis'!R5)+('Subsidy Analysis'!L9*'Development Analysis'!R6)+('Subsidy Analysis'!L10*'Development Analysis'!R7)+('Subsidy Analysis'!L11*'Development Analysis'!R8)+('Subsidy Analysis'!L12*'Development Analysis'!R9)+('Subsidy Analysis'!L13*'Development Analysis'!R10)+('Subsidy Analysis'!L14*'Development Analysis'!R11)+('Subsidy Analysis'!L15*'Development Analysis'!R12))*12</f>
        <v>6045600</v>
      </c>
      <c r="F22" s="293">
        <f>(('Subsidy Analysis'!C8*'Development Analysis'!I46)+('Subsidy Analysis'!C9*'Development Analysis'!I47)+('Subsidy Analysis'!C10*'Development Analysis'!I48)+('Subsidy Analysis'!C11*'Development Analysis'!I49)+('Subsidy Analysis'!C12*'Development Analysis'!I50)+('Subsidy Analysis'!C13*'Development Analysis'!I51)+('Subsidy Analysis'!C14*'Development Analysis'!I52)+('Subsidy Analysis'!C15*'Development Analysis'!I53)+('Subsidy Analysis'!F8*'Development Analysis'!L46)+('Subsidy Analysis'!F9*'Development Analysis'!L47)+('Subsidy Analysis'!F10*'Development Analysis'!L48)+('Subsidy Analysis'!F11*'Development Analysis'!L49)+('Subsidy Analysis'!F12*'Development Analysis'!L50)+('Subsidy Analysis'!F13*'Development Analysis'!L51)+('Subsidy Analysis'!F14*'Development Analysis'!L52)+('Subsidy Analysis'!F15*'Development Analysis'!L53)+('Subsidy Analysis'!I8*'Development Analysis'!O46)+('Subsidy Analysis'!I9*'Development Analysis'!O47)+('Subsidy Analysis'!I10*'Development Analysis'!O48)+('Subsidy Analysis'!I11*'Development Analysis'!O49)+('Subsidy Analysis'!I12*'Development Analysis'!O50)+('Subsidy Analysis'!I13*'Development Analysis'!O51)+('Subsidy Analysis'!I14*'Development Analysis'!O52)+('Subsidy Analysis'!I15*'Development Analysis'!O53)+('Subsidy Analysis'!L8*'Development Analysis'!R46)+('Subsidy Analysis'!L9*'Development Analysis'!R47)+('Subsidy Analysis'!L10*'Development Analysis'!R48)+('Subsidy Analysis'!L11*'Development Analysis'!R49)+('Subsidy Analysis'!L12*'Development Analysis'!R50)+('Subsidy Analysis'!L13*'Development Analysis'!R51)+('Subsidy Analysis'!L14*'Development Analysis'!R52)+('Subsidy Analysis'!L15*'Development Analysis'!R53))*12</f>
        <v>14822738.055260159</v>
      </c>
      <c r="G22" s="342">
        <f>(('Subsidy Analysis'!C8*'Development Analysis'!I87)+('Subsidy Analysis'!C9*'Development Analysis'!I88)+('Subsidy Analysis'!C10*'Development Analysis'!I89)+('Subsidy Analysis'!C11*'Development Analysis'!I90)+('Subsidy Analysis'!C12*'Development Analysis'!I91)+('Subsidy Analysis'!C13*'Development Analysis'!I92)+('Subsidy Analysis'!C14*'Development Analysis'!I93)+('Subsidy Analysis'!C15*'Development Analysis'!I94)+('Subsidy Analysis'!F8*'Development Analysis'!L87)+('Subsidy Analysis'!F9*'Development Analysis'!L88)+('Subsidy Analysis'!F10*'Development Analysis'!L89)+('Subsidy Analysis'!F11*'Development Analysis'!L90)+('Subsidy Analysis'!F12*'Development Analysis'!L91)+('Subsidy Analysis'!F13*'Development Analysis'!L92)+('Subsidy Analysis'!F14*'Development Analysis'!L93)+('Subsidy Analysis'!F15*'Development Analysis'!L94)+('Subsidy Analysis'!I8*'Development Analysis'!O87)+('Subsidy Analysis'!I9*'Development Analysis'!O88)+('Subsidy Analysis'!I10*'Development Analysis'!O89)+('Subsidy Analysis'!I11*'Development Analysis'!O90)+('Subsidy Analysis'!I12*'Development Analysis'!O91)+('Subsidy Analysis'!I13*'Development Analysis'!O92)+('Subsidy Analysis'!I14*'Development Analysis'!O93)+('Subsidy Analysis'!I15*'Development Analysis'!O94)+('Subsidy Analysis'!L8*'Development Analysis'!R87)+('Subsidy Analysis'!L9*'Development Analysis'!R88)+('Subsidy Analysis'!L10*'Development Analysis'!R89)+('Subsidy Analysis'!L11*'Development Analysis'!R90)+('Subsidy Analysis'!L12*'Development Analysis'!R91)+('Subsidy Analysis'!L13*'Development Analysis'!R92)+('Subsidy Analysis'!L14*'Development Analysis'!R93)+('Subsidy Analysis'!L15*'Development Analysis'!R94))*12</f>
        <v>20886608.629491478</v>
      </c>
      <c r="H22" s="271">
        <f>E22/$E$20</f>
        <v>27480</v>
      </c>
      <c r="I22" s="274">
        <f>F22/$F$20</f>
        <v>20615.769200639999</v>
      </c>
      <c r="J22" s="342">
        <f>G22/$G$20</f>
        <v>22243.459669319996</v>
      </c>
      <c r="K22" s="254"/>
    </row>
    <row r="23" spans="1:12" x14ac:dyDescent="0.2">
      <c r="B23" s="250"/>
      <c r="C23" s="355"/>
      <c r="D23" s="252" t="s">
        <v>18</v>
      </c>
      <c r="E23" s="226">
        <f>Assumptions!D54*(12*'Subsidy Analysis'!$H$17)</f>
        <v>1320000</v>
      </c>
      <c r="F23" s="233">
        <f>Assumptions!E54*(12*'Subsidy Analysis'!$H$17)</f>
        <v>4314000</v>
      </c>
      <c r="G23" s="206">
        <f>Assumptions!F54*(12*'Subsidy Analysis'!$H$17)</f>
        <v>5634000</v>
      </c>
      <c r="H23" s="226">
        <f t="shared" ref="H23:H30" si="0">E23/$E$20</f>
        <v>6000</v>
      </c>
      <c r="I23" s="273">
        <f>F23/$F$20</f>
        <v>6000</v>
      </c>
      <c r="J23" s="206">
        <f>G23/$G$20</f>
        <v>6000</v>
      </c>
      <c r="K23" s="254"/>
      <c r="L23" s="300"/>
    </row>
    <row r="24" spans="1:12" x14ac:dyDescent="0.2">
      <c r="B24" s="250"/>
      <c r="C24" s="355"/>
      <c r="D24" s="252" t="s">
        <v>85</v>
      </c>
      <c r="E24" s="271">
        <f>E22-E23</f>
        <v>4725600</v>
      </c>
      <c r="F24" s="293">
        <f>F22-F23</f>
        <v>10508738.055260159</v>
      </c>
      <c r="G24" s="342">
        <f>G22-G23</f>
        <v>15252608.629491478</v>
      </c>
      <c r="H24" s="271">
        <f t="shared" si="0"/>
        <v>21480</v>
      </c>
      <c r="I24" s="274">
        <f>F24/$F$20</f>
        <v>14615.769200639999</v>
      </c>
      <c r="J24" s="342">
        <f>G24/$G$20</f>
        <v>16243.459669319998</v>
      </c>
      <c r="K24" s="254"/>
    </row>
    <row r="25" spans="1:12" x14ac:dyDescent="0.2">
      <c r="B25" s="250"/>
      <c r="C25" s="355"/>
      <c r="D25" s="252"/>
      <c r="E25" s="271"/>
      <c r="F25" s="293"/>
      <c r="G25" s="342"/>
      <c r="H25" s="271"/>
      <c r="I25" s="274"/>
      <c r="J25" s="342"/>
      <c r="K25" s="254"/>
    </row>
    <row r="26" spans="1:12" x14ac:dyDescent="0.2">
      <c r="B26" s="250"/>
      <c r="C26" s="355"/>
      <c r="D26" s="252" t="s">
        <v>24</v>
      </c>
      <c r="E26" s="271">
        <f>('Development Analysis'!I5*'Subsidy Analysis'!C44)+('Development Analysis'!I6*'Subsidy Analysis'!C45)+('Development Analysis'!I7*'Subsidy Analysis'!C46)+('Development Analysis'!I8*'Subsidy Analysis'!C47)+('Development Analysis'!I9*'Subsidy Analysis'!C48)+('Development Analysis'!I10*'Subsidy Analysis'!C49)+('Development Analysis'!I11*'Subsidy Analysis'!C50)+('Development Analysis'!I12*'Subsidy Analysis'!C51)+('Development Analysis'!L5*'Subsidy Analysis'!F44)+('Development Analysis'!L6*'Subsidy Analysis'!F45)+('Development Analysis'!L7*'Subsidy Analysis'!F46)+('Development Analysis'!L8*'Subsidy Analysis'!F47)+('Development Analysis'!L9*'Subsidy Analysis'!F48)+('Development Analysis'!L10*'Subsidy Analysis'!F49)+('Development Analysis'!L11*'Subsidy Analysis'!F50)+('Development Analysis'!L12*'Subsidy Analysis'!F51)+('Development Analysis'!O5*'Subsidy Analysis'!I44)+('Development Analysis'!O6*'Subsidy Analysis'!I45)+('Development Analysis'!O7*'Subsidy Analysis'!I46)+('Development Analysis'!O8*'Subsidy Analysis'!I47)+('Development Analysis'!O9*'Subsidy Analysis'!I48)+('Development Analysis'!O10*'Subsidy Analysis'!I49)+('Development Analysis'!O11*'Subsidy Analysis'!I50)+('Development Analysis'!O12*'Subsidy Analysis'!I51)+('Development Analysis'!R5*'Subsidy Analysis'!L44)+('Development Analysis'!R6*'Subsidy Analysis'!L45)+('Development Analysis'!R7*'Subsidy Analysis'!L46)+('Development Analysis'!R8*'Subsidy Analysis'!L47)+('Development Analysis'!R9*'Subsidy Analysis'!L48)+('Development Analysis'!R10*'Subsidy Analysis'!L49)+('Development Analysis'!R11*'Subsidy Analysis'!L50)+('Development Analysis'!R12*'Subsidy Analysis'!L51)</f>
        <v>64767353.681407496</v>
      </c>
      <c r="F26" s="293">
        <f>('Development Analysis'!I46*'Subsidy Analysis'!C44)+('Development Analysis'!I47*'Subsidy Analysis'!C45)+('Development Analysis'!I48*'Subsidy Analysis'!C46)+('Development Analysis'!I49*'Subsidy Analysis'!C47)+('Development Analysis'!I50*'Subsidy Analysis'!C48)+('Development Analysis'!I51*'Subsidy Analysis'!C49)+('Development Analysis'!I52*'Subsidy Analysis'!C50 )+('Development Analysis'!I53*'Subsidy Analysis'!C51)+('Development Analysis'!L46*'Subsidy Analysis'!F44)+('Development Analysis'!L47*'Subsidy Analysis'!F45)+('Development Analysis'!L48*'Subsidy Analysis'!F46)+('Development Analysis'!L49*'Subsidy Analysis'!F47)+('Development Analysis'!L50*'Subsidy Analysis'!F48)+('Development Analysis'!L51*'Subsidy Analysis'!F49)+('Development Analysis'!L52*'Subsidy Analysis'!F50)+('Development Analysis'!L53*'Subsidy Analysis'!F51)+('Development Analysis'!O46*'Subsidy Analysis'!I44)+('Development Analysis'!O47*'Subsidy Analysis'!I45)+('Development Analysis'!O48*'Subsidy Analysis'!I46)+('Development Analysis'!O49*'Subsidy Analysis'!I47)+('Development Analysis'!O50*'Subsidy Analysis'!I48)+('Development Analysis'!O51*'Subsidy Analysis'!I49)+('Development Analysis'!O52*'Subsidy Analysis'!I50)+('Development Analysis'!O53*'Subsidy Analysis'!I51)+('Development Analysis'!R46*'Subsidy Analysis'!L44)+('Development Analysis'!R47*'Subsidy Analysis'!L45)+('Development Analysis'!R48*'Subsidy Analysis'!L46)+('Development Analysis'!R49*'Subsidy Analysis'!L47)+('Development Analysis'!R50*'Subsidy Analysis'!L48)+('Development Analysis'!R51*'Subsidy Analysis'!L49)+('Development Analysis'!R52*'Subsidy Analysis'!L50)+('Development Analysis'!R53*'Subsidy Analysis'!L51)</f>
        <v>144028939.04907337</v>
      </c>
      <c r="G26" s="342">
        <f>('Development Analysis'!I87*'Subsidy Analysis'!C44)+('Development Analysis'!I88*'Subsidy Analysis'!C45)+('Development Analysis'!I89*'Subsidy Analysis'!C46)+('Development Analysis'!I90*'Subsidy Analysis'!C47)+('Development Analysis'!I91*'Subsidy Analysis'!C48)+ ('Development Analysis'!I92*'Subsidy Analysis'!C49) +('Development Analysis'!I93*'Subsidy Analysis'!C50)+('Development Analysis'!I94*'Subsidy Analysis'!C51)+('Development Analysis'!L87*'Subsidy Analysis'!F44)+('Development Analysis'!L88*'Subsidy Analysis'!F45)+('Development Analysis'!L89*'Subsidy Analysis'!F46)+('Development Analysis'!L90*'Subsidy Analysis'!F47)+('Development Analysis'!L91*'Subsidy Analysis'!F48)+('Development Analysis'!L92*'Subsidy Analysis'!F49)+('Development Analysis'!L93*'Subsidy Analysis'!F50)+('Development Analysis'!L94*'Subsidy Analysis'!F51)+('Development Analysis'!O87*'Subsidy Analysis'!I44)+('Development Analysis'!O88*'Subsidy Analysis'!I45)+('Development Analysis'!O89*'Subsidy Analysis'!I46)+('Development Analysis'!O90*'Subsidy Analysis'!I47)+('Development Analysis'!O91*'Subsidy Analysis'!I48)+('Development Analysis'!O92*'Subsidy Analysis'!I49)+('Development Analysis'!O93*'Subsidy Analysis'!I50)+('Development Analysis'!O94*'Subsidy Analysis'!I51)+('Development Analysis'!R87*'Subsidy Analysis'!L44)+('Development Analysis'!R88*'Subsidy Analysis'!L45)+('Development Analysis'!R89*'Subsidy Analysis'!L46)+('Development Analysis'!R90*'Subsidy Analysis'!L47)+('Development Analysis'!R91*'Subsidy Analysis'!L48)+('Development Analysis'!R92*'Subsidy Analysis'!L49)+('Development Analysis'!R93*'Subsidy Analysis'!L50)+('Development Analysis'!R94*'Subsidy Analysis'!L51)</f>
        <v>208992032.54332763</v>
      </c>
      <c r="H26" s="271">
        <f t="shared" si="0"/>
        <v>294397.0621882159</v>
      </c>
      <c r="I26" s="274">
        <f>F26/$F$20</f>
        <v>200318.41314196575</v>
      </c>
      <c r="J26" s="342">
        <f>G26/$G$20</f>
        <v>222568.72475327755</v>
      </c>
      <c r="K26" s="254"/>
    </row>
    <row r="27" spans="1:12" x14ac:dyDescent="0.2">
      <c r="B27" s="250"/>
      <c r="C27" s="355"/>
      <c r="D27" s="252" t="s">
        <v>22</v>
      </c>
      <c r="E27" s="226">
        <f>-PMT('Subsidy Analysis'!$H$41/12,360,Recap!E26,,0)*12</f>
        <v>3937999.9999999618</v>
      </c>
      <c r="F27" s="233">
        <f>-PMT('Subsidy Analysis'!$H$41/12,360,Recap!F26,,0)*12</f>
        <v>8757281.7127167135</v>
      </c>
      <c r="G27" s="206">
        <f>-PMT('Subsidy Analysis'!$H$41/12,360,Recap!G26,,0)*12</f>
        <v>12707183.131242778</v>
      </c>
      <c r="H27" s="226">
        <f t="shared" si="0"/>
        <v>17899.999999999825</v>
      </c>
      <c r="I27" s="273">
        <f>F27/$F$20</f>
        <v>12179.807667199881</v>
      </c>
      <c r="J27" s="206">
        <f>G27/$G$20</f>
        <v>13532.676391099871</v>
      </c>
      <c r="K27" s="254"/>
    </row>
    <row r="28" spans="1:12" x14ac:dyDescent="0.2">
      <c r="B28" s="250"/>
      <c r="C28" s="355"/>
      <c r="D28" s="252" t="s">
        <v>23</v>
      </c>
      <c r="E28" s="271">
        <f>E24-E27</f>
        <v>787600.00000003818</v>
      </c>
      <c r="F28" s="293">
        <f>F24-F27</f>
        <v>1751456.3425434455</v>
      </c>
      <c r="G28" s="342">
        <f>G24-G27</f>
        <v>2545425.4982487001</v>
      </c>
      <c r="H28" s="271">
        <f t="shared" si="0"/>
        <v>3580.0000000001737</v>
      </c>
      <c r="I28" s="274">
        <f>F28/$F$20</f>
        <v>2435.9615334401187</v>
      </c>
      <c r="J28" s="342">
        <f>G28/$G$20</f>
        <v>2710.7832782201281</v>
      </c>
      <c r="K28" s="254"/>
    </row>
    <row r="29" spans="1:12" x14ac:dyDescent="0.2">
      <c r="B29" s="250"/>
      <c r="C29" s="355"/>
      <c r="D29" s="252"/>
      <c r="E29" s="332"/>
      <c r="F29" s="343"/>
      <c r="G29" s="340"/>
      <c r="H29" s="271"/>
      <c r="I29" s="274"/>
      <c r="J29" s="342"/>
      <c r="K29" s="254"/>
    </row>
    <row r="30" spans="1:12" x14ac:dyDescent="0.2">
      <c r="B30" s="250"/>
      <c r="C30" s="355"/>
      <c r="D30" s="252" t="s">
        <v>28</v>
      </c>
      <c r="E30" s="271">
        <f>'Development Analysis'!F25</f>
        <v>77338030</v>
      </c>
      <c r="F30" s="274">
        <f>'Development Analysis'!F66</f>
        <v>252754743.5</v>
      </c>
      <c r="G30" s="342">
        <f>'Development Analysis'!F107</f>
        <v>330326479.18363798</v>
      </c>
      <c r="H30" s="271">
        <f t="shared" si="0"/>
        <v>351536.5</v>
      </c>
      <c r="I30" s="274">
        <f>F30/$F$20</f>
        <v>351536.5</v>
      </c>
      <c r="J30" s="342">
        <f>G30/$G$20</f>
        <v>351785.387842</v>
      </c>
      <c r="K30" s="254"/>
    </row>
    <row r="31" spans="1:12" x14ac:dyDescent="0.2">
      <c r="A31" s="194"/>
      <c r="B31" s="360" t="s">
        <v>53</v>
      </c>
      <c r="C31" s="283" t="s">
        <v>53</v>
      </c>
      <c r="D31" s="252" t="s">
        <v>53</v>
      </c>
      <c r="E31" s="286"/>
      <c r="F31" s="287"/>
      <c r="G31" s="344"/>
      <c r="H31" s="284"/>
      <c r="I31" s="285"/>
      <c r="J31" s="356"/>
      <c r="K31" s="361" t="s">
        <v>53</v>
      </c>
    </row>
    <row r="32" spans="1:12" x14ac:dyDescent="0.2">
      <c r="B32" s="250"/>
      <c r="C32" s="283" t="s">
        <v>135</v>
      </c>
      <c r="D32" s="252"/>
      <c r="E32" s="268">
        <f>'Development Analysis'!F39-Recap!E31</f>
        <v>12570676.318592504</v>
      </c>
      <c r="F32" s="269">
        <f>'Development Analysis'!F80-Recap!F31</f>
        <v>108725804.45092663</v>
      </c>
      <c r="G32" s="272">
        <f>'Development Analysis'!F121-Recap!G31</f>
        <v>121334446.64031041</v>
      </c>
      <c r="H32" s="271">
        <f>E32/$E$20</f>
        <v>57139.437811784104</v>
      </c>
      <c r="I32" s="274">
        <f>F32/$F$20</f>
        <v>151218.08685803425</v>
      </c>
      <c r="J32" s="342">
        <f>G32/$G$20</f>
        <v>129216.66308872247</v>
      </c>
      <c r="K32" s="254"/>
    </row>
    <row r="33" spans="2:11" x14ac:dyDescent="0.2">
      <c r="B33" s="250"/>
      <c r="C33" s="357" t="s">
        <v>53</v>
      </c>
      <c r="D33" s="345" t="s">
        <v>53</v>
      </c>
      <c r="E33" s="271"/>
      <c r="F33" s="293"/>
      <c r="G33" s="299"/>
      <c r="H33" s="271"/>
      <c r="I33" s="274"/>
      <c r="J33" s="356" t="s">
        <v>53</v>
      </c>
      <c r="K33" s="254"/>
    </row>
    <row r="34" spans="2:11" x14ac:dyDescent="0.2">
      <c r="B34" s="362" t="s">
        <v>53</v>
      </c>
      <c r="C34" s="355" t="s">
        <v>53</v>
      </c>
      <c r="D34" s="252" t="s">
        <v>25</v>
      </c>
      <c r="E34" s="346">
        <f>E28/E32</f>
        <v>6.2653749093447592E-2</v>
      </c>
      <c r="F34" s="281">
        <f>F28/F32</f>
        <v>1.6108929719015921E-2</v>
      </c>
      <c r="G34" s="277">
        <f>G28/G32</f>
        <v>2.0978589087684886E-2</v>
      </c>
      <c r="H34" s="271"/>
      <c r="I34" s="274"/>
      <c r="J34" s="342"/>
      <c r="K34" s="254"/>
    </row>
    <row r="35" spans="2:11" x14ac:dyDescent="0.2">
      <c r="B35" s="250"/>
      <c r="C35" s="355"/>
      <c r="D35" s="252"/>
      <c r="E35" s="346"/>
      <c r="F35" s="281"/>
      <c r="G35" s="277"/>
      <c r="H35" s="271"/>
      <c r="I35" s="274"/>
      <c r="J35" s="342"/>
      <c r="K35" s="254"/>
    </row>
    <row r="36" spans="2:11" x14ac:dyDescent="0.2">
      <c r="B36" s="250"/>
      <c r="C36" s="355"/>
      <c r="D36" s="252" t="s">
        <v>66</v>
      </c>
      <c r="E36" s="271">
        <f>E24/Assumptions!$D$15</f>
        <v>85920000</v>
      </c>
      <c r="F36" s="274">
        <f>F24/Assumptions!$D$15</f>
        <v>191067964.64109379</v>
      </c>
      <c r="G36" s="272">
        <f>G24/Assumptions!$D$15</f>
        <v>277320156.89984506</v>
      </c>
      <c r="H36" s="271">
        <f>E36/$E$20</f>
        <v>390545.45454545453</v>
      </c>
      <c r="I36" s="274">
        <f>F36/$G$20</f>
        <v>203480.26053364621</v>
      </c>
      <c r="J36" s="342">
        <f>G36/$G$20</f>
        <v>295335.6303512727</v>
      </c>
      <c r="K36" s="254"/>
    </row>
    <row r="37" spans="2:11" x14ac:dyDescent="0.2">
      <c r="B37" s="250"/>
      <c r="C37" s="355"/>
      <c r="D37" s="252"/>
      <c r="E37" s="271"/>
      <c r="F37" s="274"/>
      <c r="G37" s="272"/>
      <c r="H37" s="271"/>
      <c r="I37" s="274"/>
      <c r="J37" s="342"/>
      <c r="K37" s="254"/>
    </row>
    <row r="38" spans="2:11" x14ac:dyDescent="0.2">
      <c r="B38" s="250"/>
      <c r="C38" s="355"/>
      <c r="D38" s="252"/>
      <c r="E38" s="347"/>
      <c r="F38" s="348"/>
      <c r="G38" s="349"/>
      <c r="H38" s="271"/>
      <c r="I38" s="274"/>
      <c r="J38" s="342"/>
      <c r="K38" s="254"/>
    </row>
    <row r="39" spans="2:11" x14ac:dyDescent="0.2">
      <c r="B39" s="360" t="s">
        <v>53</v>
      </c>
      <c r="C39" s="355"/>
      <c r="D39" s="252" t="s">
        <v>27</v>
      </c>
      <c r="E39" s="271">
        <f>E36-E30</f>
        <v>8581970</v>
      </c>
      <c r="F39" s="274">
        <f>F36-F30</f>
        <v>-61686778.858906209</v>
      </c>
      <c r="G39" s="272">
        <f>G36-G30</f>
        <v>-53006322.283792913</v>
      </c>
      <c r="H39" s="271">
        <f>E39/$E$20</f>
        <v>39008.954545454544</v>
      </c>
      <c r="I39" s="274">
        <f>F39/$F$20</f>
        <v>-85795.241806545499</v>
      </c>
      <c r="J39" s="342">
        <f>G39/$G$20</f>
        <v>-56449.757490727279</v>
      </c>
      <c r="K39" s="254"/>
    </row>
    <row r="40" spans="2:11" x14ac:dyDescent="0.2">
      <c r="B40" s="363" t="s">
        <v>53</v>
      </c>
      <c r="C40" s="364"/>
      <c r="D40" s="350" t="s">
        <v>53</v>
      </c>
      <c r="E40" s="351" t="s">
        <v>53</v>
      </c>
      <c r="F40" s="352" t="s">
        <v>53</v>
      </c>
      <c r="G40" s="353" t="s">
        <v>53</v>
      </c>
      <c r="H40" s="226"/>
      <c r="I40" s="273"/>
      <c r="J40" s="206"/>
      <c r="K40" s="260"/>
    </row>
    <row r="41" spans="2:11" hidden="1" x14ac:dyDescent="0.2">
      <c r="C41" s="4" t="s">
        <v>53</v>
      </c>
      <c r="E41" s="275"/>
      <c r="F41" s="280"/>
      <c r="G41" s="275"/>
      <c r="H41" s="225"/>
      <c r="I41" s="270"/>
      <c r="J41" s="205"/>
    </row>
    <row r="42" spans="2:11" hidden="1" x14ac:dyDescent="0.2">
      <c r="B42" s="194" t="s">
        <v>53</v>
      </c>
      <c r="C42" s="289" t="s">
        <v>132</v>
      </c>
      <c r="E42" s="272">
        <f>+E31+E32-E33</f>
        <v>12570676.318592504</v>
      </c>
      <c r="F42" s="274">
        <f>+F31+F32-F33</f>
        <v>108725804.45092663</v>
      </c>
      <c r="G42" s="292">
        <f>G32</f>
        <v>121334446.64031041</v>
      </c>
      <c r="H42" s="294">
        <f>E42/$E$20</f>
        <v>57139.437811784104</v>
      </c>
      <c r="I42" s="295">
        <f>F42/$F$20</f>
        <v>151218.08685803425</v>
      </c>
      <c r="J42" s="296"/>
    </row>
    <row r="43" spans="2:11" hidden="1" x14ac:dyDescent="0.2">
      <c r="C43" s="4" t="s">
        <v>5</v>
      </c>
      <c r="D43" s="162" t="s">
        <v>29</v>
      </c>
      <c r="E43" s="276">
        <f>E28/E42</f>
        <v>6.2653749093447592E-2</v>
      </c>
      <c r="F43" s="279">
        <f>F28/F42</f>
        <v>1.6108929719015921E-2</v>
      </c>
      <c r="G43" s="276">
        <f>G28/G42</f>
        <v>2.0978589087684886E-2</v>
      </c>
      <c r="H43" s="225"/>
      <c r="I43" s="270"/>
      <c r="J43" s="205"/>
    </row>
    <row r="44" spans="2:11" hidden="1" x14ac:dyDescent="0.2">
      <c r="C44" s="283" t="s">
        <v>14</v>
      </c>
      <c r="D44" s="244" t="s">
        <v>13</v>
      </c>
      <c r="E44" s="277">
        <f>E28/E32</f>
        <v>6.2653749093447592E-2</v>
      </c>
      <c r="F44" s="281">
        <f>F28/F32</f>
        <v>1.6108929719015921E-2</v>
      </c>
      <c r="G44" s="277">
        <f>G28/G32</f>
        <v>2.0978589087684886E-2</v>
      </c>
      <c r="H44" s="225"/>
      <c r="I44" s="223"/>
      <c r="J44" s="205"/>
    </row>
    <row r="45" spans="2:11" hidden="1" x14ac:dyDescent="0.2">
      <c r="C45" s="283" t="s">
        <v>3</v>
      </c>
      <c r="D45" s="266">
        <v>0.5</v>
      </c>
      <c r="E45" s="278">
        <f>E28*D45</f>
        <v>393800.00000001909</v>
      </c>
      <c r="F45" s="282">
        <f>F28*D45</f>
        <v>875728.17127172276</v>
      </c>
      <c r="G45" s="278">
        <f>G28*D45</f>
        <v>1272712.74912435</v>
      </c>
      <c r="H45" s="225"/>
      <c r="I45" s="223"/>
      <c r="J45" s="205"/>
    </row>
    <row r="46" spans="2:11" hidden="1" x14ac:dyDescent="0.2">
      <c r="C46" s="283" t="s">
        <v>4</v>
      </c>
      <c r="D46" s="264"/>
      <c r="E46" s="227">
        <f>E45/E32</f>
        <v>3.1326874546723796E-2</v>
      </c>
      <c r="F46" s="279">
        <f>F45/F32</f>
        <v>8.0544648595079604E-3</v>
      </c>
      <c r="G46" s="276">
        <f>G45/G32</f>
        <v>1.0489294543842443E-2</v>
      </c>
      <c r="H46" s="225"/>
      <c r="I46" s="223"/>
      <c r="J46" s="205"/>
    </row>
    <row r="47" spans="2:11" x14ac:dyDescent="0.2">
      <c r="D47" s="264"/>
      <c r="E47" s="265"/>
      <c r="F47" s="279"/>
      <c r="G47" s="276"/>
      <c r="H47" s="225"/>
      <c r="I47" s="223"/>
      <c r="J47" s="205"/>
    </row>
    <row r="49" spans="3:15" x14ac:dyDescent="0.2">
      <c r="C49" s="4" t="s">
        <v>133</v>
      </c>
      <c r="D49"/>
      <c r="H49" s="290" t="s">
        <v>53</v>
      </c>
    </row>
    <row r="50" spans="3:15" x14ac:dyDescent="0.2">
      <c r="D50"/>
    </row>
    <row r="51" spans="3:15" x14ac:dyDescent="0.2">
      <c r="D51"/>
    </row>
    <row r="52" spans="3:15" x14ac:dyDescent="0.2">
      <c r="D52"/>
    </row>
    <row r="53" spans="3:15" hidden="1" x14ac:dyDescent="0.2">
      <c r="D53"/>
    </row>
    <row r="54" spans="3:15" hidden="1" x14ac:dyDescent="0.2">
      <c r="C54" s="4" t="s">
        <v>55</v>
      </c>
      <c r="D54" s="304"/>
      <c r="E54" s="9" t="s">
        <v>8</v>
      </c>
      <c r="F54" s="9" t="s">
        <v>9</v>
      </c>
      <c r="G54" s="9" t="s">
        <v>10</v>
      </c>
      <c r="H54" s="9" t="s">
        <v>130</v>
      </c>
      <c r="J54" s="197">
        <v>2012</v>
      </c>
      <c r="K54" s="305" t="s">
        <v>30</v>
      </c>
      <c r="L54" s="368"/>
      <c r="M54" s="368"/>
      <c r="N54" s="368"/>
      <c r="O54" s="368"/>
    </row>
    <row r="55" spans="3:15" hidden="1" x14ac:dyDescent="0.2">
      <c r="D55" s="304">
        <v>30</v>
      </c>
      <c r="E55" s="314">
        <f>E4*$E$15</f>
        <v>0</v>
      </c>
      <c r="F55" s="314">
        <f>F4*$F$15</f>
        <v>0</v>
      </c>
      <c r="G55" s="314">
        <f>G4*$G$15</f>
        <v>0</v>
      </c>
      <c r="H55" s="318"/>
      <c r="J55" s="9" t="s">
        <v>55</v>
      </c>
      <c r="K55" s="305" t="s">
        <v>70</v>
      </c>
      <c r="L55" s="305" t="s">
        <v>71</v>
      </c>
      <c r="M55" s="305" t="s">
        <v>72</v>
      </c>
      <c r="N55" s="305" t="s">
        <v>73</v>
      </c>
    </row>
    <row r="56" spans="3:15" hidden="1" x14ac:dyDescent="0.2">
      <c r="D56" s="304">
        <v>50</v>
      </c>
      <c r="E56" s="314">
        <f t="shared" ref="E56:E62" si="1">E5*$E$15</f>
        <v>0</v>
      </c>
      <c r="F56" s="314">
        <f t="shared" ref="F56:F62" si="2">F5*$F$15</f>
        <v>0</v>
      </c>
      <c r="G56" s="314">
        <f t="shared" ref="G56:G62" si="3">G5*$G$15</f>
        <v>0</v>
      </c>
      <c r="H56" s="318"/>
      <c r="J56" s="1" t="s">
        <v>35</v>
      </c>
      <c r="K56" s="166">
        <v>540</v>
      </c>
      <c r="L56" s="166">
        <v>579</v>
      </c>
      <c r="M56" s="166">
        <v>695</v>
      </c>
      <c r="N56" s="166">
        <v>803</v>
      </c>
    </row>
    <row r="57" spans="3:15" hidden="1" x14ac:dyDescent="0.2">
      <c r="D57" s="304">
        <v>60</v>
      </c>
      <c r="E57" s="314">
        <f t="shared" si="1"/>
        <v>0</v>
      </c>
      <c r="F57" s="314">
        <f t="shared" si="2"/>
        <v>0</v>
      </c>
      <c r="G57" s="314">
        <f t="shared" si="3"/>
        <v>0</v>
      </c>
      <c r="H57" s="318"/>
      <c r="J57" s="1" t="s">
        <v>36</v>
      </c>
      <c r="K57" s="166">
        <v>901</v>
      </c>
      <c r="L57" s="228">
        <v>965</v>
      </c>
      <c r="M57" s="228">
        <v>1158</v>
      </c>
      <c r="N57" s="166">
        <v>1339</v>
      </c>
    </row>
    <row r="58" spans="3:15" hidden="1" x14ac:dyDescent="0.2">
      <c r="D58" s="304">
        <v>80</v>
      </c>
      <c r="E58" s="314">
        <f t="shared" si="1"/>
        <v>0</v>
      </c>
      <c r="F58" s="314">
        <f t="shared" si="2"/>
        <v>528.99993599999993</v>
      </c>
      <c r="G58" s="314">
        <f t="shared" si="3"/>
        <v>528.99973499999999</v>
      </c>
      <c r="H58" s="318"/>
      <c r="J58" s="1" t="s">
        <v>37</v>
      </c>
      <c r="K58" s="166">
        <v>1081</v>
      </c>
      <c r="L58" s="228">
        <v>1158</v>
      </c>
      <c r="M58" s="228">
        <v>1390</v>
      </c>
      <c r="N58" s="166">
        <v>1607</v>
      </c>
    </row>
    <row r="59" spans="3:15" hidden="1" x14ac:dyDescent="0.2">
      <c r="D59" s="304">
        <v>100</v>
      </c>
      <c r="E59" s="314">
        <f t="shared" si="1"/>
        <v>0</v>
      </c>
      <c r="F59" s="314">
        <f t="shared" si="2"/>
        <v>0</v>
      </c>
      <c r="G59" s="314">
        <f t="shared" si="3"/>
        <v>0</v>
      </c>
      <c r="H59" s="318"/>
      <c r="J59" s="1" t="s">
        <v>38</v>
      </c>
      <c r="K59" s="166">
        <v>1442</v>
      </c>
      <c r="L59" s="228">
        <v>1545</v>
      </c>
      <c r="M59" s="228">
        <v>1854</v>
      </c>
      <c r="N59" s="166">
        <v>2143</v>
      </c>
    </row>
    <row r="60" spans="3:15" hidden="1" x14ac:dyDescent="0.2">
      <c r="D60" s="304">
        <v>110</v>
      </c>
      <c r="E60" s="314">
        <f t="shared" si="1"/>
        <v>0</v>
      </c>
      <c r="F60" s="314">
        <f t="shared" si="2"/>
        <v>0</v>
      </c>
      <c r="G60" s="314">
        <f t="shared" si="3"/>
        <v>0</v>
      </c>
      <c r="H60" s="318"/>
      <c r="J60" s="1" t="s">
        <v>39</v>
      </c>
      <c r="K60" s="166">
        <v>1447</v>
      </c>
      <c r="L60" s="228">
        <v>1550</v>
      </c>
      <c r="M60" s="228">
        <v>1860</v>
      </c>
      <c r="N60" s="166">
        <v>2150</v>
      </c>
    </row>
    <row r="61" spans="3:15" hidden="1" x14ac:dyDescent="0.2">
      <c r="D61" s="304">
        <v>120</v>
      </c>
      <c r="E61" s="314">
        <f t="shared" si="1"/>
        <v>0</v>
      </c>
      <c r="F61" s="314">
        <f t="shared" si="2"/>
        <v>190.00006399999998</v>
      </c>
      <c r="G61" s="314">
        <f t="shared" si="3"/>
        <v>190.000077</v>
      </c>
      <c r="H61" s="318"/>
      <c r="J61" s="322" t="s">
        <v>136</v>
      </c>
      <c r="K61" s="166">
        <f>AVERAGE(K60,K62)</f>
        <v>1591.5</v>
      </c>
      <c r="L61" s="166">
        <f t="shared" ref="L61:N61" si="4">AVERAGE(L60,L62)</f>
        <v>1705</v>
      </c>
      <c r="M61" s="166">
        <f t="shared" si="4"/>
        <v>2046</v>
      </c>
      <c r="N61" s="166">
        <f t="shared" si="4"/>
        <v>2365</v>
      </c>
    </row>
    <row r="62" spans="3:15" hidden="1" x14ac:dyDescent="0.2">
      <c r="D62" s="304">
        <v>140</v>
      </c>
      <c r="E62" s="316">
        <f t="shared" si="1"/>
        <v>220</v>
      </c>
      <c r="F62" s="316">
        <f t="shared" si="2"/>
        <v>0</v>
      </c>
      <c r="G62" s="316">
        <f t="shared" si="3"/>
        <v>220.66499999999999</v>
      </c>
      <c r="H62" s="318"/>
      <c r="J62" s="1" t="s">
        <v>40</v>
      </c>
      <c r="K62" s="166">
        <v>1736</v>
      </c>
      <c r="L62" s="228">
        <v>1860</v>
      </c>
      <c r="M62" s="228">
        <v>2232</v>
      </c>
      <c r="N62" s="166">
        <v>2580</v>
      </c>
    </row>
    <row r="63" spans="3:15" hidden="1" x14ac:dyDescent="0.2">
      <c r="D63" s="304" t="s">
        <v>54</v>
      </c>
      <c r="E63" s="315">
        <f>SUM(E55:E62)</f>
        <v>220</v>
      </c>
      <c r="F63" s="315">
        <f t="shared" ref="F63:G63" si="5">SUM(F55:F62)</f>
        <v>718.99999999999989</v>
      </c>
      <c r="G63" s="315">
        <f t="shared" si="5"/>
        <v>939.66481199999998</v>
      </c>
      <c r="H63" s="318"/>
      <c r="J63" t="s">
        <v>41</v>
      </c>
      <c r="K63" s="220">
        <v>2026</v>
      </c>
      <c r="L63" s="220">
        <v>2170</v>
      </c>
      <c r="M63" s="220">
        <v>2605</v>
      </c>
      <c r="N63" s="220">
        <v>3010</v>
      </c>
    </row>
    <row r="64" spans="3:15" hidden="1" x14ac:dyDescent="0.2">
      <c r="D64" s="304"/>
      <c r="E64" s="1"/>
      <c r="F64" s="1"/>
      <c r="G64" s="1"/>
    </row>
    <row r="65" spans="3:16" hidden="1" x14ac:dyDescent="0.2">
      <c r="C65" s="4" t="s">
        <v>79</v>
      </c>
      <c r="D65" s="304"/>
      <c r="E65" s="1"/>
      <c r="F65" s="1"/>
      <c r="G65" s="1"/>
    </row>
    <row r="66" spans="3:16" hidden="1" x14ac:dyDescent="0.2">
      <c r="D66" s="305" t="s">
        <v>70</v>
      </c>
      <c r="E66" s="314">
        <f>$E$15*E16</f>
        <v>77</v>
      </c>
      <c r="F66" s="314">
        <f>$F$15*F16</f>
        <v>251.64999999999998</v>
      </c>
      <c r="G66" s="314">
        <f>$G$15*G16</f>
        <v>328.65</v>
      </c>
      <c r="H66" s="318"/>
    </row>
    <row r="67" spans="3:16" hidden="1" x14ac:dyDescent="0.2">
      <c r="D67" s="304" t="s">
        <v>71</v>
      </c>
      <c r="E67" s="314">
        <f t="shared" ref="E67:E69" si="6">$E$15*E17</f>
        <v>81.400000000000006</v>
      </c>
      <c r="F67" s="314">
        <f t="shared" ref="F67:F69" si="7">$F$15*F17</f>
        <v>266.02999999999997</v>
      </c>
      <c r="G67" s="314">
        <f t="shared" ref="G67:G69" si="8">$G$15*G17</f>
        <v>347.43</v>
      </c>
      <c r="H67" s="318"/>
    </row>
    <row r="68" spans="3:16" hidden="1" x14ac:dyDescent="0.2">
      <c r="D68" s="304" t="s">
        <v>72</v>
      </c>
      <c r="E68" s="314">
        <f t="shared" si="6"/>
        <v>35.200000000000003</v>
      </c>
      <c r="F68" s="314">
        <f t="shared" si="7"/>
        <v>115.04</v>
      </c>
      <c r="G68" s="314">
        <f t="shared" si="8"/>
        <v>150.24</v>
      </c>
      <c r="H68" s="318"/>
    </row>
    <row r="69" spans="3:16" hidden="1" x14ac:dyDescent="0.2">
      <c r="D69" s="304" t="s">
        <v>73</v>
      </c>
      <c r="E69" s="316">
        <f t="shared" si="6"/>
        <v>26.4</v>
      </c>
      <c r="F69" s="316">
        <f t="shared" si="7"/>
        <v>86.28</v>
      </c>
      <c r="G69" s="316">
        <f t="shared" si="8"/>
        <v>112.67999999999999</v>
      </c>
      <c r="H69" s="318"/>
    </row>
    <row r="70" spans="3:16" hidden="1" x14ac:dyDescent="0.2">
      <c r="D70" s="304" t="s">
        <v>80</v>
      </c>
      <c r="E70" s="317">
        <f>SUM(E66:E69)</f>
        <v>220.00000000000003</v>
      </c>
      <c r="F70" s="317">
        <f t="shared" ref="F70:G70" si="9">SUM(F66:F69)</f>
        <v>718.99999999999989</v>
      </c>
      <c r="G70" s="317">
        <f t="shared" si="9"/>
        <v>938.99999999999989</v>
      </c>
    </row>
    <row r="71" spans="3:16" hidden="1" x14ac:dyDescent="0.2">
      <c r="D71" s="298"/>
    </row>
    <row r="72" spans="3:16" hidden="1" x14ac:dyDescent="0.2">
      <c r="D72" s="266"/>
      <c r="E72" s="240"/>
      <c r="F72" s="240"/>
    </row>
    <row r="73" spans="3:16" hidden="1" x14ac:dyDescent="0.2">
      <c r="C73" s="230"/>
      <c r="D73" s="9" t="s">
        <v>55</v>
      </c>
      <c r="E73" s="305" t="s">
        <v>70</v>
      </c>
      <c r="F73" s="305" t="s">
        <v>71</v>
      </c>
      <c r="G73" s="305" t="s">
        <v>72</v>
      </c>
      <c r="H73" s="305" t="s">
        <v>73</v>
      </c>
      <c r="J73" s="9" t="s">
        <v>55</v>
      </c>
      <c r="K73" s="305" t="s">
        <v>70</v>
      </c>
      <c r="L73" s="305" t="s">
        <v>71</v>
      </c>
      <c r="M73" s="305" t="s">
        <v>72</v>
      </c>
      <c r="N73" s="305" t="s">
        <v>73</v>
      </c>
      <c r="P73" s="193"/>
    </row>
    <row r="74" spans="3:16" hidden="1" x14ac:dyDescent="0.2">
      <c r="C74" s="4" t="s">
        <v>8</v>
      </c>
      <c r="D74" s="1" t="s">
        <v>35</v>
      </c>
      <c r="E74" s="319">
        <f>(E4*$E$16)*$E$15</f>
        <v>0</v>
      </c>
      <c r="F74" s="319">
        <f>(E4*$E$17)*$E$15</f>
        <v>0</v>
      </c>
      <c r="G74" s="319">
        <f>(E4*$E$18)*$E$15</f>
        <v>0</v>
      </c>
      <c r="H74" s="319">
        <f>(E4*$E$19)*$E$15</f>
        <v>0</v>
      </c>
      <c r="I74" s="318">
        <f>SUM(E74:H74)</f>
        <v>0</v>
      </c>
      <c r="J74" s="1" t="s">
        <v>35</v>
      </c>
      <c r="K74" s="166">
        <f>E74*K56</f>
        <v>0</v>
      </c>
      <c r="L74" s="166">
        <f>F74*L56</f>
        <v>0</v>
      </c>
      <c r="M74" s="166">
        <f>G74*M56</f>
        <v>0</v>
      </c>
      <c r="N74" s="166">
        <f>H74*N56</f>
        <v>0</v>
      </c>
    </row>
    <row r="75" spans="3:16" hidden="1" x14ac:dyDescent="0.2">
      <c r="D75" s="1" t="s">
        <v>36</v>
      </c>
      <c r="E75" s="319">
        <f t="shared" ref="E75:E81" si="10">(E5*$E$16)*$E$15</f>
        <v>0</v>
      </c>
      <c r="F75" s="319">
        <f t="shared" ref="F75:F81" si="11">(E5*$E$17)*$E$15</f>
        <v>0</v>
      </c>
      <c r="G75" s="319">
        <f t="shared" ref="G75:G81" si="12">(E5*$E$18)*$E$15</f>
        <v>0</v>
      </c>
      <c r="H75" s="319">
        <f t="shared" ref="H75:H81" si="13">(E5*$E$19)*$E$15</f>
        <v>0</v>
      </c>
      <c r="I75" s="318">
        <f t="shared" ref="I75:I81" si="14">SUM(E75:H75)</f>
        <v>0</v>
      </c>
      <c r="J75" s="1" t="s">
        <v>36</v>
      </c>
      <c r="K75" s="166">
        <f t="shared" ref="K75:N75" si="15">E75*K57</f>
        <v>0</v>
      </c>
      <c r="L75" s="166">
        <f t="shared" si="15"/>
        <v>0</v>
      </c>
      <c r="M75" s="166">
        <f t="shared" si="15"/>
        <v>0</v>
      </c>
      <c r="N75" s="166">
        <f t="shared" si="15"/>
        <v>0</v>
      </c>
    </row>
    <row r="76" spans="3:16" hidden="1" x14ac:dyDescent="0.2">
      <c r="D76" s="1" t="s">
        <v>37</v>
      </c>
      <c r="E76" s="319">
        <f t="shared" si="10"/>
        <v>0</v>
      </c>
      <c r="F76" s="319">
        <f t="shared" si="11"/>
        <v>0</v>
      </c>
      <c r="G76" s="319">
        <f t="shared" si="12"/>
        <v>0</v>
      </c>
      <c r="H76" s="319">
        <f t="shared" si="13"/>
        <v>0</v>
      </c>
      <c r="I76" s="318">
        <f t="shared" si="14"/>
        <v>0</v>
      </c>
      <c r="J76" s="1" t="s">
        <v>37</v>
      </c>
      <c r="K76" s="166">
        <f t="shared" ref="K76:N76" si="16">E76*K58</f>
        <v>0</v>
      </c>
      <c r="L76" s="166">
        <f t="shared" si="16"/>
        <v>0</v>
      </c>
      <c r="M76" s="166">
        <f t="shared" si="16"/>
        <v>0</v>
      </c>
      <c r="N76" s="166">
        <f t="shared" si="16"/>
        <v>0</v>
      </c>
    </row>
    <row r="77" spans="3:16" hidden="1" x14ac:dyDescent="0.2">
      <c r="D77" s="1" t="s">
        <v>38</v>
      </c>
      <c r="E77" s="319">
        <f t="shared" si="10"/>
        <v>0</v>
      </c>
      <c r="F77" s="319">
        <f t="shared" si="11"/>
        <v>0</v>
      </c>
      <c r="G77" s="319">
        <f t="shared" si="12"/>
        <v>0</v>
      </c>
      <c r="H77" s="319">
        <f t="shared" si="13"/>
        <v>0</v>
      </c>
      <c r="I77" s="318">
        <f t="shared" si="14"/>
        <v>0</v>
      </c>
      <c r="J77" s="1" t="s">
        <v>38</v>
      </c>
      <c r="K77" s="166">
        <f t="shared" ref="K77:N77" si="17">E77*K59</f>
        <v>0</v>
      </c>
      <c r="L77" s="166">
        <f t="shared" si="17"/>
        <v>0</v>
      </c>
      <c r="M77" s="166">
        <f t="shared" si="17"/>
        <v>0</v>
      </c>
      <c r="N77" s="166">
        <f t="shared" si="17"/>
        <v>0</v>
      </c>
    </row>
    <row r="78" spans="3:16" hidden="1" x14ac:dyDescent="0.2">
      <c r="D78" s="1" t="s">
        <v>39</v>
      </c>
      <c r="E78" s="319">
        <f t="shared" si="10"/>
        <v>0</v>
      </c>
      <c r="F78" s="319">
        <f t="shared" si="11"/>
        <v>0</v>
      </c>
      <c r="G78" s="319">
        <f t="shared" si="12"/>
        <v>0</v>
      </c>
      <c r="H78" s="319">
        <f t="shared" si="13"/>
        <v>0</v>
      </c>
      <c r="I78" s="318">
        <f t="shared" si="14"/>
        <v>0</v>
      </c>
      <c r="J78" s="1" t="s">
        <v>39</v>
      </c>
      <c r="K78" s="166">
        <f t="shared" ref="K78:N78" si="18">E78*K60</f>
        <v>0</v>
      </c>
      <c r="L78" s="166">
        <f t="shared" si="18"/>
        <v>0</v>
      </c>
      <c r="M78" s="166">
        <f t="shared" si="18"/>
        <v>0</v>
      </c>
      <c r="N78" s="166">
        <f t="shared" si="18"/>
        <v>0</v>
      </c>
    </row>
    <row r="79" spans="3:16" hidden="1" x14ac:dyDescent="0.2">
      <c r="D79" s="313" t="s">
        <v>136</v>
      </c>
      <c r="E79" s="319">
        <f t="shared" si="10"/>
        <v>0</v>
      </c>
      <c r="F79" s="319">
        <f t="shared" si="11"/>
        <v>0</v>
      </c>
      <c r="G79" s="319">
        <f t="shared" si="12"/>
        <v>0</v>
      </c>
      <c r="H79" s="319">
        <f>(E9*$E$19)*$E$15</f>
        <v>0</v>
      </c>
      <c r="I79" s="318">
        <f t="shared" ref="I79" si="19">SUM(E79:H79)</f>
        <v>0</v>
      </c>
      <c r="J79" s="313" t="s">
        <v>136</v>
      </c>
      <c r="K79" s="166">
        <f>E79*K61</f>
        <v>0</v>
      </c>
      <c r="L79" s="166">
        <f t="shared" ref="L79:N79" si="20">F79*L61</f>
        <v>0</v>
      </c>
      <c r="M79" s="166">
        <f t="shared" si="20"/>
        <v>0</v>
      </c>
      <c r="N79" s="166">
        <f t="shared" si="20"/>
        <v>0</v>
      </c>
    </row>
    <row r="80" spans="3:16" hidden="1" x14ac:dyDescent="0.2">
      <c r="D80" s="1" t="s">
        <v>40</v>
      </c>
      <c r="E80" s="319">
        <f t="shared" si="10"/>
        <v>0</v>
      </c>
      <c r="F80" s="319">
        <f t="shared" si="11"/>
        <v>0</v>
      </c>
      <c r="G80" s="319">
        <f t="shared" si="12"/>
        <v>0</v>
      </c>
      <c r="H80" s="319">
        <f t="shared" si="13"/>
        <v>0</v>
      </c>
      <c r="I80" s="318">
        <f t="shared" si="14"/>
        <v>0</v>
      </c>
      <c r="J80" s="1" t="s">
        <v>40</v>
      </c>
      <c r="K80" s="166">
        <f t="shared" ref="K80:N80" si="21">E80*K62</f>
        <v>0</v>
      </c>
      <c r="L80" s="166">
        <f t="shared" si="21"/>
        <v>0</v>
      </c>
      <c r="M80" s="166">
        <f t="shared" si="21"/>
        <v>0</v>
      </c>
      <c r="N80" s="166">
        <f t="shared" si="21"/>
        <v>0</v>
      </c>
    </row>
    <row r="81" spans="3:17" s="309" customFormat="1" hidden="1" x14ac:dyDescent="0.2">
      <c r="C81" s="307"/>
      <c r="D81" t="s">
        <v>41</v>
      </c>
      <c r="E81" s="319">
        <f t="shared" si="10"/>
        <v>77</v>
      </c>
      <c r="F81" s="319">
        <f t="shared" si="11"/>
        <v>81.400000000000006</v>
      </c>
      <c r="G81" s="319">
        <f t="shared" si="12"/>
        <v>35.200000000000003</v>
      </c>
      <c r="H81" s="319">
        <f t="shared" si="13"/>
        <v>26.4</v>
      </c>
      <c r="I81" s="318">
        <f t="shared" si="14"/>
        <v>220.00000000000003</v>
      </c>
      <c r="J81" t="s">
        <v>41</v>
      </c>
      <c r="K81" s="166">
        <f t="shared" ref="K81:N81" si="22">E81*K63</f>
        <v>156002</v>
      </c>
      <c r="L81" s="166">
        <f t="shared" si="22"/>
        <v>176638</v>
      </c>
      <c r="M81" s="166">
        <f t="shared" si="22"/>
        <v>91696.000000000015</v>
      </c>
      <c r="N81" s="166">
        <f t="shared" si="22"/>
        <v>79464</v>
      </c>
      <c r="O81" s="320">
        <f>SUM(K74:N81)*12</f>
        <v>6045600</v>
      </c>
      <c r="P81" s="323">
        <f>O81-E22</f>
        <v>0</v>
      </c>
      <c r="Q81" s="321">
        <f>P81/O81</f>
        <v>0</v>
      </c>
    </row>
    <row r="82" spans="3:17" s="309" customFormat="1" hidden="1" x14ac:dyDescent="0.2">
      <c r="C82" s="307"/>
      <c r="D82"/>
      <c r="E82" s="318">
        <f>SUM(E74:E81)</f>
        <v>77</v>
      </c>
      <c r="F82" s="318">
        <f t="shared" ref="F82:H82" si="23">SUM(F74:F81)</f>
        <v>81.400000000000006</v>
      </c>
      <c r="G82" s="318">
        <f t="shared" si="23"/>
        <v>35.200000000000003</v>
      </c>
      <c r="H82" s="318">
        <f t="shared" si="23"/>
        <v>26.4</v>
      </c>
      <c r="I82" s="318">
        <f>SUM(E82:H82)</f>
        <v>220.00000000000003</v>
      </c>
      <c r="J82" s="308"/>
    </row>
    <row r="83" spans="3:17" s="309" customFormat="1" hidden="1" x14ac:dyDescent="0.2">
      <c r="C83" s="307"/>
      <c r="D83" s="310"/>
      <c r="E83" s="311">
        <v>30</v>
      </c>
      <c r="F83" s="312">
        <f>Assumptions!G4</f>
        <v>540</v>
      </c>
      <c r="G83" s="312">
        <f>Assumptions!H4</f>
        <v>579</v>
      </c>
      <c r="H83" s="308" t="s">
        <v>72</v>
      </c>
      <c r="I83"/>
      <c r="J83" s="308" t="s">
        <v>74</v>
      </c>
      <c r="O83"/>
    </row>
    <row r="84" spans="3:17" s="311" customFormat="1" hidden="1" x14ac:dyDescent="0.2">
      <c r="C84" s="230"/>
      <c r="D84" s="9" t="s">
        <v>55</v>
      </c>
      <c r="E84" s="305" t="s">
        <v>70</v>
      </c>
      <c r="F84" s="305" t="s">
        <v>71</v>
      </c>
      <c r="G84" s="305" t="s">
        <v>72</v>
      </c>
      <c r="H84" s="305" t="s">
        <v>73</v>
      </c>
      <c r="I84"/>
      <c r="J84" s="9" t="s">
        <v>55</v>
      </c>
      <c r="K84" s="305" t="s">
        <v>70</v>
      </c>
      <c r="L84" s="305" t="s">
        <v>71</v>
      </c>
      <c r="M84" s="305" t="s">
        <v>72</v>
      </c>
      <c r="N84" s="305" t="s">
        <v>73</v>
      </c>
      <c r="O84"/>
    </row>
    <row r="85" spans="3:17" s="311" customFormat="1" hidden="1" x14ac:dyDescent="0.2">
      <c r="C85" s="4" t="s">
        <v>9</v>
      </c>
      <c r="D85" s="1" t="s">
        <v>35</v>
      </c>
      <c r="E85" s="319">
        <f>(F4*$F$16)*$F$15</f>
        <v>0</v>
      </c>
      <c r="F85" s="319">
        <f>(F4*$F$17)*$F$15</f>
        <v>0</v>
      </c>
      <c r="G85" s="319">
        <f>(F4*$F$18)*$F$15</f>
        <v>0</v>
      </c>
      <c r="H85" s="319">
        <f>(F4*$F$19)*$F$15</f>
        <v>0</v>
      </c>
      <c r="I85" s="318">
        <f>SUM(E85:H85)</f>
        <v>0</v>
      </c>
      <c r="J85" s="1" t="s">
        <v>35</v>
      </c>
      <c r="K85" s="166">
        <f>E85*K56</f>
        <v>0</v>
      </c>
      <c r="L85" s="166">
        <f>F85*L56</f>
        <v>0</v>
      </c>
      <c r="M85" s="166">
        <f>G85*M56</f>
        <v>0</v>
      </c>
      <c r="N85" s="166">
        <f>H85*N56</f>
        <v>0</v>
      </c>
      <c r="O85"/>
    </row>
    <row r="86" spans="3:17" s="311" customFormat="1" hidden="1" x14ac:dyDescent="0.2">
      <c r="C86" s="4"/>
      <c r="D86" s="1" t="s">
        <v>36</v>
      </c>
      <c r="E86" s="319">
        <f t="shared" ref="E86:E92" si="24">(F5*$F$16)*$F$15</f>
        <v>0</v>
      </c>
      <c r="F86" s="319">
        <f t="shared" ref="F86:F92" si="25">(F5*$F$17)*$F$15</f>
        <v>0</v>
      </c>
      <c r="G86" s="319">
        <f t="shared" ref="G86:G92" si="26">(F5*$F$18)*$F$15</f>
        <v>0</v>
      </c>
      <c r="H86" s="319">
        <f t="shared" ref="H86:H92" si="27">(F5*$F$19)*$F$15</f>
        <v>0</v>
      </c>
      <c r="I86" s="318">
        <f t="shared" ref="I86:I92" si="28">SUM(E86:H86)</f>
        <v>0</v>
      </c>
      <c r="J86" s="1" t="s">
        <v>36</v>
      </c>
      <c r="K86" s="166">
        <f t="shared" ref="K86:N86" si="29">E86*K57</f>
        <v>0</v>
      </c>
      <c r="L86" s="166">
        <f t="shared" si="29"/>
        <v>0</v>
      </c>
      <c r="M86" s="166">
        <f t="shared" si="29"/>
        <v>0</v>
      </c>
      <c r="N86" s="166">
        <f t="shared" si="29"/>
        <v>0</v>
      </c>
      <c r="O86"/>
    </row>
    <row r="87" spans="3:17" s="311" customFormat="1" hidden="1" x14ac:dyDescent="0.2">
      <c r="C87" s="4"/>
      <c r="D87" s="1" t="s">
        <v>37</v>
      </c>
      <c r="E87" s="319">
        <f t="shared" si="24"/>
        <v>0</v>
      </c>
      <c r="F87" s="319">
        <f t="shared" si="25"/>
        <v>0</v>
      </c>
      <c r="G87" s="319">
        <f t="shared" si="26"/>
        <v>0</v>
      </c>
      <c r="H87" s="319">
        <f t="shared" si="27"/>
        <v>0</v>
      </c>
      <c r="I87" s="318">
        <f t="shared" si="28"/>
        <v>0</v>
      </c>
      <c r="J87" s="1" t="s">
        <v>37</v>
      </c>
      <c r="K87" s="166">
        <f t="shared" ref="K87:N87" si="30">E87*K58</f>
        <v>0</v>
      </c>
      <c r="L87" s="166">
        <f t="shared" si="30"/>
        <v>0</v>
      </c>
      <c r="M87" s="166">
        <f t="shared" si="30"/>
        <v>0</v>
      </c>
      <c r="N87" s="166">
        <f t="shared" si="30"/>
        <v>0</v>
      </c>
      <c r="O87"/>
    </row>
    <row r="88" spans="3:17" s="311" customFormat="1" hidden="1" x14ac:dyDescent="0.2">
      <c r="C88" s="4"/>
      <c r="D88" s="1" t="s">
        <v>38</v>
      </c>
      <c r="E88" s="319">
        <f t="shared" si="24"/>
        <v>185.14997759999997</v>
      </c>
      <c r="F88" s="319">
        <f t="shared" si="25"/>
        <v>195.72997631999996</v>
      </c>
      <c r="G88" s="319">
        <f t="shared" si="26"/>
        <v>84.639989759999992</v>
      </c>
      <c r="H88" s="319">
        <f t="shared" si="27"/>
        <v>63.479992320000001</v>
      </c>
      <c r="I88" s="318">
        <f t="shared" si="28"/>
        <v>528.99993599999993</v>
      </c>
      <c r="J88" s="1" t="s">
        <v>38</v>
      </c>
      <c r="K88" s="166">
        <f t="shared" ref="K88:N88" si="31">E88*K59</f>
        <v>266986.26769919996</v>
      </c>
      <c r="L88" s="166">
        <f t="shared" si="31"/>
        <v>302402.81341439992</v>
      </c>
      <c r="M88" s="166">
        <f t="shared" si="31"/>
        <v>156922.54101503998</v>
      </c>
      <c r="N88" s="166">
        <f t="shared" si="31"/>
        <v>136037.62354176</v>
      </c>
      <c r="O88"/>
    </row>
    <row r="89" spans="3:17" s="311" customFormat="1" hidden="1" x14ac:dyDescent="0.2">
      <c r="C89" s="4"/>
      <c r="D89" s="1" t="s">
        <v>39</v>
      </c>
      <c r="E89" s="319">
        <f t="shared" si="24"/>
        <v>0</v>
      </c>
      <c r="F89" s="319">
        <f t="shared" si="25"/>
        <v>0</v>
      </c>
      <c r="G89" s="319">
        <f t="shared" si="26"/>
        <v>0</v>
      </c>
      <c r="H89" s="319">
        <f t="shared" si="27"/>
        <v>0</v>
      </c>
      <c r="I89" s="318">
        <f t="shared" si="28"/>
        <v>0</v>
      </c>
      <c r="J89" s="1" t="s">
        <v>39</v>
      </c>
      <c r="K89" s="166">
        <f t="shared" ref="K89:N89" si="32">E89*K60</f>
        <v>0</v>
      </c>
      <c r="L89" s="166">
        <f t="shared" si="32"/>
        <v>0</v>
      </c>
      <c r="M89" s="166">
        <f t="shared" si="32"/>
        <v>0</v>
      </c>
      <c r="N89" s="166">
        <f t="shared" si="32"/>
        <v>0</v>
      </c>
      <c r="O89"/>
    </row>
    <row r="90" spans="3:17" s="311" customFormat="1" hidden="1" x14ac:dyDescent="0.2">
      <c r="C90" s="4"/>
      <c r="D90" s="313" t="s">
        <v>136</v>
      </c>
      <c r="E90" s="319">
        <f t="shared" si="24"/>
        <v>0</v>
      </c>
      <c r="F90" s="319">
        <f t="shared" si="25"/>
        <v>0</v>
      </c>
      <c r="G90" s="319">
        <f t="shared" si="26"/>
        <v>0</v>
      </c>
      <c r="H90" s="319">
        <f t="shared" si="27"/>
        <v>0</v>
      </c>
      <c r="I90" s="318">
        <f t="shared" si="28"/>
        <v>0</v>
      </c>
      <c r="J90" s="313" t="s">
        <v>136</v>
      </c>
      <c r="K90" s="166">
        <f t="shared" ref="K90:N90" si="33">E90*K61</f>
        <v>0</v>
      </c>
      <c r="L90" s="166">
        <f t="shared" si="33"/>
        <v>0</v>
      </c>
      <c r="M90" s="166">
        <f t="shared" si="33"/>
        <v>0</v>
      </c>
      <c r="N90" s="166">
        <f t="shared" si="33"/>
        <v>0</v>
      </c>
      <c r="O90"/>
    </row>
    <row r="91" spans="3:17" s="311" customFormat="1" hidden="1" x14ac:dyDescent="0.2">
      <c r="C91" s="4"/>
      <c r="D91" s="1" t="s">
        <v>40</v>
      </c>
      <c r="E91" s="319">
        <f t="shared" si="24"/>
        <v>66.500022399999992</v>
      </c>
      <c r="F91" s="319">
        <f t="shared" si="25"/>
        <v>70.300023679999995</v>
      </c>
      <c r="G91" s="319">
        <f t="shared" si="26"/>
        <v>30.40001024</v>
      </c>
      <c r="H91" s="319">
        <f t="shared" si="27"/>
        <v>22.800007679999997</v>
      </c>
      <c r="I91" s="318">
        <f t="shared" si="28"/>
        <v>190.00006399999998</v>
      </c>
      <c r="J91" s="1" t="s">
        <v>40</v>
      </c>
      <c r="K91" s="166">
        <f t="shared" ref="K91:N91" si="34">E91*K62</f>
        <v>115444.03888639998</v>
      </c>
      <c r="L91" s="166">
        <f t="shared" si="34"/>
        <v>130758.04404479999</v>
      </c>
      <c r="M91" s="166">
        <f t="shared" si="34"/>
        <v>67852.822855680002</v>
      </c>
      <c r="N91" s="166">
        <f t="shared" si="34"/>
        <v>58824.019814399988</v>
      </c>
      <c r="O91"/>
    </row>
    <row r="92" spans="3:17" s="311" customFormat="1" hidden="1" x14ac:dyDescent="0.2">
      <c r="C92" s="307"/>
      <c r="D92" t="s">
        <v>41</v>
      </c>
      <c r="E92" s="319">
        <f t="shared" si="24"/>
        <v>0</v>
      </c>
      <c r="F92" s="319">
        <f t="shared" si="25"/>
        <v>0</v>
      </c>
      <c r="G92" s="319">
        <f t="shared" si="26"/>
        <v>0</v>
      </c>
      <c r="H92" s="319">
        <f t="shared" si="27"/>
        <v>0</v>
      </c>
      <c r="I92" s="318">
        <f t="shared" si="28"/>
        <v>0</v>
      </c>
      <c r="J92" t="s">
        <v>41</v>
      </c>
      <c r="K92" s="166">
        <f t="shared" ref="K92:N92" si="35">E92*K63</f>
        <v>0</v>
      </c>
      <c r="L92" s="166">
        <f t="shared" si="35"/>
        <v>0</v>
      </c>
      <c r="M92" s="166">
        <f t="shared" si="35"/>
        <v>0</v>
      </c>
      <c r="N92" s="166">
        <f t="shared" si="35"/>
        <v>0</v>
      </c>
      <c r="O92" s="193">
        <f>SUM(K85:N92)*12</f>
        <v>14822738.055260159</v>
      </c>
      <c r="P92" s="196">
        <f>O92-F22</f>
        <v>0</v>
      </c>
      <c r="Q92" s="321">
        <f>P92/O92</f>
        <v>0</v>
      </c>
    </row>
    <row r="93" spans="3:17" s="311" customFormat="1" hidden="1" x14ac:dyDescent="0.2">
      <c r="C93" s="307"/>
      <c r="D93"/>
      <c r="E93" s="318">
        <f>SUM(E85:E92)</f>
        <v>251.64999999999998</v>
      </c>
      <c r="F93" s="318">
        <f t="shared" ref="F93:H93" si="36">SUM(F85:F92)</f>
        <v>266.02999999999997</v>
      </c>
      <c r="G93" s="318">
        <f t="shared" si="36"/>
        <v>115.03999999999999</v>
      </c>
      <c r="H93" s="318">
        <f t="shared" si="36"/>
        <v>86.28</v>
      </c>
      <c r="I93" s="318">
        <f>SUM(E93:H93)</f>
        <v>718.99999999999989</v>
      </c>
    </row>
    <row r="94" spans="3:17" hidden="1" x14ac:dyDescent="0.2">
      <c r="C94"/>
      <c r="D94"/>
    </row>
    <row r="95" spans="3:17" s="311" customFormat="1" hidden="1" x14ac:dyDescent="0.2">
      <c r="C95" s="230"/>
      <c r="D95" s="9" t="s">
        <v>55</v>
      </c>
      <c r="E95" s="305" t="s">
        <v>70</v>
      </c>
      <c r="F95" s="305" t="s">
        <v>71</v>
      </c>
      <c r="G95" s="305" t="s">
        <v>72</v>
      </c>
      <c r="H95" s="305" t="s">
        <v>73</v>
      </c>
      <c r="I95"/>
      <c r="J95" s="9" t="s">
        <v>55</v>
      </c>
      <c r="K95" s="305" t="s">
        <v>70</v>
      </c>
      <c r="L95" s="305" t="s">
        <v>71</v>
      </c>
      <c r="M95" s="305" t="s">
        <v>72</v>
      </c>
      <c r="N95" s="305" t="s">
        <v>73</v>
      </c>
      <c r="O95"/>
    </row>
    <row r="96" spans="3:17" s="311" customFormat="1" hidden="1" x14ac:dyDescent="0.2">
      <c r="C96" s="4" t="s">
        <v>10</v>
      </c>
      <c r="D96" s="1" t="s">
        <v>35</v>
      </c>
      <c r="E96" s="319">
        <f>(G4*$G$16)*$G$15</f>
        <v>0</v>
      </c>
      <c r="F96" s="319">
        <f>(G4*$G$17)*$G$15</f>
        <v>0</v>
      </c>
      <c r="G96" s="319">
        <f>(G4*$G$18)*$G$15</f>
        <v>0</v>
      </c>
      <c r="H96" s="319">
        <f>(G4*$G$19)*$G$15</f>
        <v>0</v>
      </c>
      <c r="I96" s="318">
        <f>SUM(E96:H96)</f>
        <v>0</v>
      </c>
      <c r="J96" s="1" t="s">
        <v>35</v>
      </c>
      <c r="K96" s="166">
        <f>E96*K56</f>
        <v>0</v>
      </c>
      <c r="L96" s="166">
        <f>F96*L56</f>
        <v>0</v>
      </c>
      <c r="M96" s="166">
        <f>G96*M56</f>
        <v>0</v>
      </c>
      <c r="N96" s="166">
        <f>H96*N56</f>
        <v>0</v>
      </c>
      <c r="O96"/>
    </row>
    <row r="97" spans="3:17" s="311" customFormat="1" hidden="1" x14ac:dyDescent="0.2">
      <c r="C97" s="4"/>
      <c r="D97" s="1" t="s">
        <v>36</v>
      </c>
      <c r="E97" s="319">
        <f t="shared" ref="E97:E103" si="37">(G5*$G$16)*$G$15</f>
        <v>0</v>
      </c>
      <c r="F97" s="319">
        <f t="shared" ref="F97:F103" si="38">(G5*$G$17)*$G$15</f>
        <v>0</v>
      </c>
      <c r="G97" s="319">
        <f t="shared" ref="G97:G103" si="39">(G5*$G$18)*$G$15</f>
        <v>0</v>
      </c>
      <c r="H97" s="319">
        <f t="shared" ref="H97:H103" si="40">(G5*$G$19)*$G$15</f>
        <v>0</v>
      </c>
      <c r="I97" s="318">
        <f t="shared" ref="I97:I103" si="41">SUM(E97:H97)</f>
        <v>0</v>
      </c>
      <c r="J97" s="1" t="s">
        <v>36</v>
      </c>
      <c r="K97" s="166">
        <f t="shared" ref="K97:N97" si="42">E97*K57</f>
        <v>0</v>
      </c>
      <c r="L97" s="166">
        <f t="shared" si="42"/>
        <v>0</v>
      </c>
      <c r="M97" s="166">
        <f t="shared" si="42"/>
        <v>0</v>
      </c>
      <c r="N97" s="166">
        <f t="shared" si="42"/>
        <v>0</v>
      </c>
      <c r="O97"/>
    </row>
    <row r="98" spans="3:17" s="311" customFormat="1" hidden="1" x14ac:dyDescent="0.2">
      <c r="C98" s="4"/>
      <c r="D98" s="1" t="s">
        <v>37</v>
      </c>
      <c r="E98" s="319">
        <f t="shared" si="37"/>
        <v>0</v>
      </c>
      <c r="F98" s="319">
        <f t="shared" si="38"/>
        <v>0</v>
      </c>
      <c r="G98" s="319">
        <f t="shared" si="39"/>
        <v>0</v>
      </c>
      <c r="H98" s="319">
        <f t="shared" si="40"/>
        <v>0</v>
      </c>
      <c r="I98" s="318">
        <f t="shared" si="41"/>
        <v>0</v>
      </c>
      <c r="J98" s="1" t="s">
        <v>37</v>
      </c>
      <c r="K98" s="166">
        <f t="shared" ref="K98:N98" si="43">E98*K58</f>
        <v>0</v>
      </c>
      <c r="L98" s="166">
        <f t="shared" si="43"/>
        <v>0</v>
      </c>
      <c r="M98" s="166">
        <f t="shared" si="43"/>
        <v>0</v>
      </c>
      <c r="N98" s="166">
        <f t="shared" si="43"/>
        <v>0</v>
      </c>
      <c r="O98"/>
    </row>
    <row r="99" spans="3:17" s="311" customFormat="1" hidden="1" x14ac:dyDescent="0.2">
      <c r="C99" s="4"/>
      <c r="D99" s="1" t="s">
        <v>38</v>
      </c>
      <c r="E99" s="319">
        <f t="shared" si="37"/>
        <v>185.14990724999998</v>
      </c>
      <c r="F99" s="319">
        <f t="shared" si="38"/>
        <v>195.72990195</v>
      </c>
      <c r="G99" s="319">
        <f t="shared" si="39"/>
        <v>84.639957600000002</v>
      </c>
      <c r="H99" s="319">
        <f t="shared" si="40"/>
        <v>63.479968199999995</v>
      </c>
      <c r="I99" s="318">
        <f t="shared" si="41"/>
        <v>528.99973499999999</v>
      </c>
      <c r="J99" s="1" t="s">
        <v>38</v>
      </c>
      <c r="K99" s="166">
        <f t="shared" ref="K99:N99" si="44">E99*K59</f>
        <v>266986.16625449999</v>
      </c>
      <c r="L99" s="166">
        <f t="shared" si="44"/>
        <v>302402.69851274998</v>
      </c>
      <c r="M99" s="166">
        <f t="shared" si="44"/>
        <v>156922.4813904</v>
      </c>
      <c r="N99" s="166">
        <f t="shared" si="44"/>
        <v>136037.5718526</v>
      </c>
      <c r="O99"/>
    </row>
    <row r="100" spans="3:17" s="311" customFormat="1" hidden="1" x14ac:dyDescent="0.2">
      <c r="C100" s="4"/>
      <c r="D100" s="1" t="s">
        <v>39</v>
      </c>
      <c r="E100" s="319">
        <f t="shared" si="37"/>
        <v>0</v>
      </c>
      <c r="F100" s="319">
        <f t="shared" si="38"/>
        <v>0</v>
      </c>
      <c r="G100" s="319">
        <f t="shared" si="39"/>
        <v>0</v>
      </c>
      <c r="H100" s="319">
        <f t="shared" si="40"/>
        <v>0</v>
      </c>
      <c r="I100" s="318">
        <f t="shared" si="41"/>
        <v>0</v>
      </c>
      <c r="J100" s="1" t="s">
        <v>39</v>
      </c>
      <c r="K100" s="166">
        <f t="shared" ref="K100:N100" si="45">E100*K60</f>
        <v>0</v>
      </c>
      <c r="L100" s="166">
        <f t="shared" si="45"/>
        <v>0</v>
      </c>
      <c r="M100" s="166">
        <f t="shared" si="45"/>
        <v>0</v>
      </c>
      <c r="N100" s="166">
        <f t="shared" si="45"/>
        <v>0</v>
      </c>
      <c r="O100"/>
    </row>
    <row r="101" spans="3:17" s="311" customFormat="1" hidden="1" x14ac:dyDescent="0.2">
      <c r="C101" s="4"/>
      <c r="D101" s="313" t="s">
        <v>136</v>
      </c>
      <c r="E101" s="319">
        <f t="shared" si="37"/>
        <v>0</v>
      </c>
      <c r="F101" s="319">
        <f t="shared" si="38"/>
        <v>0</v>
      </c>
      <c r="G101" s="319">
        <f t="shared" si="39"/>
        <v>0</v>
      </c>
      <c r="H101" s="319">
        <f t="shared" si="40"/>
        <v>0</v>
      </c>
      <c r="I101" s="318">
        <f t="shared" si="41"/>
        <v>0</v>
      </c>
      <c r="J101" s="313" t="s">
        <v>136</v>
      </c>
      <c r="K101" s="166">
        <f t="shared" ref="K101:N101" si="46">E101*K61</f>
        <v>0</v>
      </c>
      <c r="L101" s="166">
        <f t="shared" si="46"/>
        <v>0</v>
      </c>
      <c r="M101" s="166">
        <f t="shared" si="46"/>
        <v>0</v>
      </c>
      <c r="N101" s="166">
        <f t="shared" si="46"/>
        <v>0</v>
      </c>
      <c r="O101"/>
    </row>
    <row r="102" spans="3:17" s="311" customFormat="1" hidden="1" x14ac:dyDescent="0.2">
      <c r="C102" s="4"/>
      <c r="D102" s="1" t="s">
        <v>40</v>
      </c>
      <c r="E102" s="319">
        <f t="shared" si="37"/>
        <v>66.500026949999992</v>
      </c>
      <c r="F102" s="319">
        <f t="shared" si="38"/>
        <v>70.300028489999988</v>
      </c>
      <c r="G102" s="319">
        <f t="shared" si="39"/>
        <v>30.400012320000002</v>
      </c>
      <c r="H102" s="319">
        <f t="shared" si="40"/>
        <v>22.800009239999998</v>
      </c>
      <c r="I102" s="318">
        <f t="shared" si="41"/>
        <v>190.000077</v>
      </c>
      <c r="J102" s="1" t="s">
        <v>40</v>
      </c>
      <c r="K102" s="166">
        <f t="shared" ref="K102:N102" si="47">E102*K62</f>
        <v>115444.04678519999</v>
      </c>
      <c r="L102" s="166">
        <f t="shared" si="47"/>
        <v>130758.05299139998</v>
      </c>
      <c r="M102" s="166">
        <f t="shared" si="47"/>
        <v>67852.827498240003</v>
      </c>
      <c r="N102" s="166">
        <f t="shared" si="47"/>
        <v>58824.023839199996</v>
      </c>
      <c r="O102"/>
    </row>
    <row r="103" spans="3:17" s="311" customFormat="1" hidden="1" x14ac:dyDescent="0.2">
      <c r="C103" s="307"/>
      <c r="D103" t="s">
        <v>41</v>
      </c>
      <c r="E103" s="319">
        <f t="shared" si="37"/>
        <v>77.232749999999996</v>
      </c>
      <c r="F103" s="319">
        <f t="shared" si="38"/>
        <v>81.646050000000002</v>
      </c>
      <c r="G103" s="319">
        <f t="shared" si="39"/>
        <v>35.306400000000004</v>
      </c>
      <c r="H103" s="319">
        <f t="shared" si="40"/>
        <v>26.479799999999997</v>
      </c>
      <c r="I103" s="318">
        <f t="shared" si="41"/>
        <v>220.66500000000002</v>
      </c>
      <c r="J103" t="s">
        <v>41</v>
      </c>
      <c r="K103" s="166">
        <f t="shared" ref="K103:N103" si="48">E103*K63</f>
        <v>156473.5515</v>
      </c>
      <c r="L103" s="166">
        <f t="shared" si="48"/>
        <v>177171.92850000001</v>
      </c>
      <c r="M103" s="166">
        <f t="shared" si="48"/>
        <v>91973.172000000006</v>
      </c>
      <c r="N103" s="166">
        <f t="shared" si="48"/>
        <v>79704.197999999989</v>
      </c>
      <c r="O103" s="193">
        <f>SUM(K96:N103)*12</f>
        <v>20886608.629491478</v>
      </c>
      <c r="P103" s="196">
        <f>O103-G22</f>
        <v>0</v>
      </c>
      <c r="Q103" s="321">
        <f>P103/O103</f>
        <v>0</v>
      </c>
    </row>
    <row r="104" spans="3:17" hidden="1" x14ac:dyDescent="0.2">
      <c r="C104"/>
      <c r="D104"/>
      <c r="E104" s="318">
        <f>SUM(E96:E103)</f>
        <v>328.88268419999997</v>
      </c>
      <c r="F104" s="318">
        <f t="shared" ref="F104:H104" si="49">SUM(F96:F103)</f>
        <v>347.67598043999999</v>
      </c>
      <c r="G104" s="318">
        <f t="shared" si="49"/>
        <v>150.34636992</v>
      </c>
      <c r="H104" s="318">
        <f t="shared" si="49"/>
        <v>112.75977743999999</v>
      </c>
      <c r="I104" s="318">
        <f>SUM(E104:H104)</f>
        <v>939.66481199999998</v>
      </c>
    </row>
    <row r="105" spans="3:17" x14ac:dyDescent="0.2">
      <c r="C105"/>
      <c r="D105"/>
    </row>
    <row r="106" spans="3:17" x14ac:dyDescent="0.2">
      <c r="C106"/>
      <c r="D106"/>
    </row>
    <row r="107" spans="3:17" x14ac:dyDescent="0.2">
      <c r="C107"/>
      <c r="D107"/>
    </row>
    <row r="108" spans="3:17" x14ac:dyDescent="0.2">
      <c r="C108"/>
      <c r="D108"/>
    </row>
    <row r="109" spans="3:17" x14ac:dyDescent="0.2">
      <c r="C109"/>
      <c r="D109"/>
    </row>
    <row r="110" spans="3:17" x14ac:dyDescent="0.2">
      <c r="C110"/>
      <c r="D110"/>
    </row>
    <row r="111" spans="3:17" x14ac:dyDescent="0.2">
      <c r="C111"/>
      <c r="D111"/>
    </row>
    <row r="112" spans="3:17" x14ac:dyDescent="0.2">
      <c r="C112"/>
      <c r="D112"/>
    </row>
    <row r="113" spans="3:4" x14ac:dyDescent="0.2">
      <c r="C113"/>
      <c r="D113"/>
    </row>
    <row r="114" spans="3:4" x14ac:dyDescent="0.2">
      <c r="C114"/>
      <c r="D114"/>
    </row>
    <row r="115" spans="3:4" x14ac:dyDescent="0.2">
      <c r="C115"/>
      <c r="D115"/>
    </row>
    <row r="116" spans="3:4" x14ac:dyDescent="0.2">
      <c r="C116"/>
      <c r="D116"/>
    </row>
    <row r="117" spans="3:4" x14ac:dyDescent="0.2">
      <c r="C117"/>
      <c r="D117"/>
    </row>
    <row r="118" spans="3:4" x14ac:dyDescent="0.2">
      <c r="C118"/>
      <c r="D118"/>
    </row>
    <row r="119" spans="3:4" x14ac:dyDescent="0.2">
      <c r="C119"/>
      <c r="D119"/>
    </row>
    <row r="120" spans="3:4" x14ac:dyDescent="0.2">
      <c r="C120"/>
      <c r="D120"/>
    </row>
    <row r="121" spans="3:4" x14ac:dyDescent="0.2">
      <c r="C121"/>
      <c r="D121"/>
    </row>
    <row r="122" spans="3:4" x14ac:dyDescent="0.2">
      <c r="C122"/>
      <c r="D122"/>
    </row>
    <row r="123" spans="3:4" x14ac:dyDescent="0.2">
      <c r="C123"/>
      <c r="D123"/>
    </row>
    <row r="124" spans="3:4" x14ac:dyDescent="0.2">
      <c r="C124"/>
      <c r="D124"/>
    </row>
    <row r="125" spans="3:4" x14ac:dyDescent="0.2">
      <c r="C125"/>
      <c r="D125"/>
    </row>
    <row r="126" spans="3:4" x14ac:dyDescent="0.2">
      <c r="C126"/>
      <c r="D126"/>
    </row>
    <row r="127" spans="3:4" x14ac:dyDescent="0.2">
      <c r="C127"/>
      <c r="D127"/>
    </row>
    <row r="128" spans="3:4" x14ac:dyDescent="0.2">
      <c r="C128"/>
      <c r="D128"/>
    </row>
    <row r="129" spans="3:4" x14ac:dyDescent="0.2">
      <c r="C129"/>
      <c r="D129"/>
    </row>
    <row r="130" spans="3:4" x14ac:dyDescent="0.2">
      <c r="C130"/>
      <c r="D130"/>
    </row>
    <row r="131" spans="3:4" x14ac:dyDescent="0.2">
      <c r="C131"/>
      <c r="D131"/>
    </row>
    <row r="132" spans="3:4" x14ac:dyDescent="0.2">
      <c r="C132"/>
      <c r="D132"/>
    </row>
    <row r="133" spans="3:4" x14ac:dyDescent="0.2">
      <c r="C133"/>
      <c r="D133"/>
    </row>
    <row r="134" spans="3:4" x14ac:dyDescent="0.2">
      <c r="C134"/>
      <c r="D134"/>
    </row>
    <row r="135" spans="3:4" x14ac:dyDescent="0.2">
      <c r="C135"/>
      <c r="D135"/>
    </row>
    <row r="136" spans="3:4" x14ac:dyDescent="0.2">
      <c r="C136"/>
      <c r="D136"/>
    </row>
    <row r="137" spans="3:4" x14ac:dyDescent="0.2">
      <c r="C137"/>
      <c r="D137"/>
    </row>
    <row r="138" spans="3:4" x14ac:dyDescent="0.2">
      <c r="C138"/>
      <c r="D138"/>
    </row>
    <row r="139" spans="3:4" x14ac:dyDescent="0.2">
      <c r="C139"/>
      <c r="D139"/>
    </row>
    <row r="140" spans="3:4" x14ac:dyDescent="0.2">
      <c r="C140"/>
      <c r="D140"/>
    </row>
    <row r="141" spans="3:4" x14ac:dyDescent="0.2">
      <c r="C141"/>
      <c r="D141"/>
    </row>
    <row r="142" spans="3:4" x14ac:dyDescent="0.2">
      <c r="C142"/>
      <c r="D142"/>
    </row>
    <row r="143" spans="3:4" x14ac:dyDescent="0.2">
      <c r="C143"/>
      <c r="D143"/>
    </row>
    <row r="144" spans="3:4" x14ac:dyDescent="0.2">
      <c r="C144"/>
      <c r="D144"/>
    </row>
    <row r="145" spans="3:4" x14ac:dyDescent="0.2">
      <c r="C145"/>
      <c r="D145"/>
    </row>
    <row r="146" spans="3:4" x14ac:dyDescent="0.2">
      <c r="C146"/>
      <c r="D146"/>
    </row>
    <row r="147" spans="3:4" x14ac:dyDescent="0.2">
      <c r="C147"/>
      <c r="D147"/>
    </row>
    <row r="148" spans="3:4" x14ac:dyDescent="0.2">
      <c r="C148"/>
      <c r="D148"/>
    </row>
    <row r="149" spans="3:4" x14ac:dyDescent="0.2">
      <c r="C149"/>
      <c r="D149"/>
    </row>
    <row r="150" spans="3:4" x14ac:dyDescent="0.2">
      <c r="C150"/>
      <c r="D150"/>
    </row>
    <row r="151" spans="3:4" x14ac:dyDescent="0.2">
      <c r="C151"/>
      <c r="D151"/>
    </row>
    <row r="152" spans="3:4" x14ac:dyDescent="0.2">
      <c r="C152"/>
      <c r="D152"/>
    </row>
    <row r="153" spans="3:4" x14ac:dyDescent="0.2">
      <c r="C153"/>
      <c r="D153"/>
    </row>
    <row r="154" spans="3:4" x14ac:dyDescent="0.2">
      <c r="C154"/>
      <c r="D154"/>
    </row>
    <row r="155" spans="3:4" x14ac:dyDescent="0.2">
      <c r="C155"/>
      <c r="D155"/>
    </row>
    <row r="156" spans="3:4" x14ac:dyDescent="0.2">
      <c r="C156"/>
      <c r="D156"/>
    </row>
    <row r="157" spans="3:4" x14ac:dyDescent="0.2">
      <c r="C157"/>
      <c r="D157"/>
    </row>
    <row r="158" spans="3:4" x14ac:dyDescent="0.2">
      <c r="C158"/>
      <c r="D158"/>
    </row>
    <row r="159" spans="3:4" x14ac:dyDescent="0.2">
      <c r="C159"/>
      <c r="D159"/>
    </row>
    <row r="160" spans="3:4" x14ac:dyDescent="0.2">
      <c r="C160"/>
      <c r="D160"/>
    </row>
    <row r="161" spans="3:4" x14ac:dyDescent="0.2">
      <c r="C161"/>
      <c r="D161"/>
    </row>
    <row r="162" spans="3:4" x14ac:dyDescent="0.2">
      <c r="C162"/>
      <c r="D162"/>
    </row>
    <row r="163" spans="3:4" x14ac:dyDescent="0.2">
      <c r="C163"/>
      <c r="D163"/>
    </row>
    <row r="164" spans="3:4" x14ac:dyDescent="0.2">
      <c r="C164"/>
      <c r="D164"/>
    </row>
    <row r="165" spans="3:4" x14ac:dyDescent="0.2">
      <c r="C165"/>
      <c r="D165"/>
    </row>
    <row r="166" spans="3:4" x14ac:dyDescent="0.2">
      <c r="C166"/>
      <c r="D166"/>
    </row>
    <row r="167" spans="3:4" x14ac:dyDescent="0.2">
      <c r="C167"/>
      <c r="D167"/>
    </row>
    <row r="168" spans="3:4" x14ac:dyDescent="0.2">
      <c r="C168"/>
      <c r="D168"/>
    </row>
    <row r="169" spans="3:4" x14ac:dyDescent="0.2">
      <c r="C169"/>
      <c r="D169"/>
    </row>
    <row r="170" spans="3:4" x14ac:dyDescent="0.2">
      <c r="C170"/>
      <c r="D170"/>
    </row>
    <row r="171" spans="3:4" x14ac:dyDescent="0.2">
      <c r="C171"/>
      <c r="D171"/>
    </row>
    <row r="172" spans="3:4" x14ac:dyDescent="0.2">
      <c r="C172"/>
      <c r="D172"/>
    </row>
    <row r="173" spans="3:4" x14ac:dyDescent="0.2">
      <c r="C173"/>
      <c r="D173"/>
    </row>
    <row r="174" spans="3:4" x14ac:dyDescent="0.2">
      <c r="C174"/>
      <c r="D174"/>
    </row>
    <row r="175" spans="3:4" x14ac:dyDescent="0.2">
      <c r="C175"/>
      <c r="D175"/>
    </row>
    <row r="176" spans="3:4" x14ac:dyDescent="0.2">
      <c r="C176"/>
      <c r="D176"/>
    </row>
    <row r="177" spans="3:4" x14ac:dyDescent="0.2">
      <c r="C177"/>
      <c r="D177"/>
    </row>
    <row r="178" spans="3:4" x14ac:dyDescent="0.2">
      <c r="C178"/>
      <c r="D178"/>
    </row>
    <row r="179" spans="3:4" x14ac:dyDescent="0.2">
      <c r="C179"/>
      <c r="D179"/>
    </row>
    <row r="180" spans="3:4" x14ac:dyDescent="0.2">
      <c r="C180"/>
      <c r="D180"/>
    </row>
    <row r="181" spans="3:4" x14ac:dyDescent="0.2">
      <c r="C181"/>
      <c r="D181"/>
    </row>
    <row r="182" spans="3:4" x14ac:dyDescent="0.2">
      <c r="C182"/>
      <c r="D182"/>
    </row>
    <row r="183" spans="3:4" x14ac:dyDescent="0.2">
      <c r="C183"/>
      <c r="D183"/>
    </row>
    <row r="184" spans="3:4" x14ac:dyDescent="0.2">
      <c r="C184"/>
      <c r="D184"/>
    </row>
    <row r="185" spans="3:4" x14ac:dyDescent="0.2">
      <c r="C185"/>
      <c r="D185"/>
    </row>
    <row r="186" spans="3:4" x14ac:dyDescent="0.2">
      <c r="C186"/>
      <c r="D186"/>
    </row>
    <row r="187" spans="3:4" x14ac:dyDescent="0.2">
      <c r="C187"/>
      <c r="D187"/>
    </row>
    <row r="188" spans="3:4" x14ac:dyDescent="0.2">
      <c r="C188"/>
      <c r="D188"/>
    </row>
    <row r="189" spans="3:4" x14ac:dyDescent="0.2">
      <c r="C189"/>
      <c r="D189"/>
    </row>
    <row r="190" spans="3:4" x14ac:dyDescent="0.2">
      <c r="C190"/>
      <c r="D190"/>
    </row>
    <row r="191" spans="3:4" x14ac:dyDescent="0.2">
      <c r="C191"/>
      <c r="D191"/>
    </row>
    <row r="192" spans="3:4" x14ac:dyDescent="0.2">
      <c r="C192"/>
      <c r="D192"/>
    </row>
    <row r="193" spans="3:4" x14ac:dyDescent="0.2">
      <c r="C193"/>
      <c r="D193"/>
    </row>
    <row r="194" spans="3:4" x14ac:dyDescent="0.2">
      <c r="C194"/>
      <c r="D194"/>
    </row>
    <row r="195" spans="3:4" x14ac:dyDescent="0.2">
      <c r="C195"/>
      <c r="D195"/>
    </row>
    <row r="196" spans="3:4" x14ac:dyDescent="0.2">
      <c r="C196"/>
      <c r="D196"/>
    </row>
    <row r="197" spans="3:4" x14ac:dyDescent="0.2">
      <c r="C197"/>
      <c r="D197"/>
    </row>
    <row r="198" spans="3:4" x14ac:dyDescent="0.2">
      <c r="C198"/>
      <c r="D198"/>
    </row>
    <row r="199" spans="3:4" x14ac:dyDescent="0.2">
      <c r="C199"/>
      <c r="D199"/>
    </row>
    <row r="200" spans="3:4" x14ac:dyDescent="0.2">
      <c r="C200"/>
      <c r="D200"/>
    </row>
    <row r="201" spans="3:4" x14ac:dyDescent="0.2">
      <c r="C201"/>
      <c r="D201"/>
    </row>
    <row r="202" spans="3:4" x14ac:dyDescent="0.2">
      <c r="C202"/>
      <c r="D202"/>
    </row>
    <row r="203" spans="3:4" x14ac:dyDescent="0.2">
      <c r="C203"/>
      <c r="D203"/>
    </row>
    <row r="204" spans="3:4" x14ac:dyDescent="0.2">
      <c r="C204"/>
      <c r="D204"/>
    </row>
    <row r="205" spans="3:4" x14ac:dyDescent="0.2">
      <c r="C205"/>
      <c r="D205"/>
    </row>
    <row r="206" spans="3:4" x14ac:dyDescent="0.2">
      <c r="C206"/>
      <c r="D206"/>
    </row>
    <row r="207" spans="3:4" x14ac:dyDescent="0.2">
      <c r="C207"/>
      <c r="D207"/>
    </row>
    <row r="208" spans="3:4" x14ac:dyDescent="0.2">
      <c r="C208"/>
      <c r="D208"/>
    </row>
    <row r="209" spans="3:4" x14ac:dyDescent="0.2">
      <c r="C209"/>
      <c r="D209"/>
    </row>
    <row r="210" spans="3:4" x14ac:dyDescent="0.2">
      <c r="C210"/>
      <c r="D210"/>
    </row>
    <row r="211" spans="3:4" x14ac:dyDescent="0.2">
      <c r="C211"/>
      <c r="D211"/>
    </row>
    <row r="212" spans="3:4" x14ac:dyDescent="0.2">
      <c r="C212"/>
      <c r="D212"/>
    </row>
    <row r="213" spans="3:4" x14ac:dyDescent="0.2">
      <c r="C213"/>
      <c r="D213"/>
    </row>
    <row r="214" spans="3:4" x14ac:dyDescent="0.2">
      <c r="C214"/>
      <c r="D214"/>
    </row>
    <row r="215" spans="3:4" x14ac:dyDescent="0.2">
      <c r="C215"/>
      <c r="D215"/>
    </row>
    <row r="216" spans="3:4" x14ac:dyDescent="0.2">
      <c r="C216"/>
      <c r="D216"/>
    </row>
    <row r="217" spans="3:4" x14ac:dyDescent="0.2">
      <c r="C217"/>
      <c r="D217"/>
    </row>
    <row r="218" spans="3:4" x14ac:dyDescent="0.2">
      <c r="C218"/>
      <c r="D218"/>
    </row>
    <row r="219" spans="3:4" x14ac:dyDescent="0.2">
      <c r="C219"/>
      <c r="D219"/>
    </row>
    <row r="220" spans="3:4" x14ac:dyDescent="0.2">
      <c r="C220"/>
      <c r="D220"/>
    </row>
    <row r="221" spans="3:4" x14ac:dyDescent="0.2">
      <c r="C221"/>
      <c r="D221"/>
    </row>
    <row r="222" spans="3:4" x14ac:dyDescent="0.2">
      <c r="C222"/>
      <c r="D222"/>
    </row>
    <row r="223" spans="3:4" x14ac:dyDescent="0.2">
      <c r="C223"/>
      <c r="D223"/>
    </row>
    <row r="224" spans="3:4" x14ac:dyDescent="0.2">
      <c r="C224"/>
      <c r="D224"/>
    </row>
    <row r="225" spans="3:4" x14ac:dyDescent="0.2">
      <c r="C225"/>
      <c r="D225"/>
    </row>
    <row r="226" spans="3:4" x14ac:dyDescent="0.2">
      <c r="C226"/>
      <c r="D226"/>
    </row>
    <row r="227" spans="3:4" x14ac:dyDescent="0.2">
      <c r="C227"/>
      <c r="D227"/>
    </row>
    <row r="228" spans="3:4" x14ac:dyDescent="0.2">
      <c r="C228"/>
      <c r="D228"/>
    </row>
    <row r="229" spans="3:4" x14ac:dyDescent="0.2">
      <c r="C229"/>
      <c r="D229"/>
    </row>
    <row r="230" spans="3:4" x14ac:dyDescent="0.2">
      <c r="C230"/>
      <c r="D230"/>
    </row>
    <row r="231" spans="3:4" x14ac:dyDescent="0.2">
      <c r="C231"/>
      <c r="D231"/>
    </row>
    <row r="232" spans="3:4" x14ac:dyDescent="0.2">
      <c r="C232"/>
      <c r="D232"/>
    </row>
    <row r="233" spans="3:4" x14ac:dyDescent="0.2">
      <c r="C233"/>
      <c r="D233"/>
    </row>
    <row r="234" spans="3:4" x14ac:dyDescent="0.2">
      <c r="C234"/>
      <c r="D234"/>
    </row>
    <row r="235" spans="3:4" x14ac:dyDescent="0.2">
      <c r="C235"/>
      <c r="D235"/>
    </row>
    <row r="236" spans="3:4" x14ac:dyDescent="0.2">
      <c r="C236"/>
      <c r="D236"/>
    </row>
    <row r="237" spans="3:4" x14ac:dyDescent="0.2">
      <c r="C237"/>
      <c r="D237"/>
    </row>
    <row r="238" spans="3:4" x14ac:dyDescent="0.2">
      <c r="C238"/>
      <c r="D238"/>
    </row>
    <row r="239" spans="3:4" x14ac:dyDescent="0.2">
      <c r="C239"/>
      <c r="D239"/>
    </row>
    <row r="240" spans="3:4" x14ac:dyDescent="0.2">
      <c r="C240"/>
      <c r="D240"/>
    </row>
    <row r="241" spans="3:4" x14ac:dyDescent="0.2">
      <c r="C241"/>
      <c r="D241"/>
    </row>
    <row r="242" spans="3:4" x14ac:dyDescent="0.2">
      <c r="C242"/>
      <c r="D242"/>
    </row>
    <row r="243" spans="3:4" x14ac:dyDescent="0.2">
      <c r="C243"/>
      <c r="D243"/>
    </row>
    <row r="244" spans="3:4" x14ac:dyDescent="0.2">
      <c r="C244"/>
      <c r="D244"/>
    </row>
    <row r="245" spans="3:4" x14ac:dyDescent="0.2">
      <c r="C245"/>
      <c r="D245"/>
    </row>
    <row r="246" spans="3:4" x14ac:dyDescent="0.2">
      <c r="C246"/>
      <c r="D246"/>
    </row>
    <row r="247" spans="3:4" x14ac:dyDescent="0.2">
      <c r="C247"/>
      <c r="D247"/>
    </row>
    <row r="248" spans="3:4" x14ac:dyDescent="0.2">
      <c r="C248"/>
      <c r="D248"/>
    </row>
    <row r="249" spans="3:4" x14ac:dyDescent="0.2">
      <c r="C249"/>
      <c r="D249"/>
    </row>
    <row r="250" spans="3:4" x14ac:dyDescent="0.2">
      <c r="C250"/>
      <c r="D250"/>
    </row>
    <row r="251" spans="3:4" x14ac:dyDescent="0.2">
      <c r="C251"/>
      <c r="D251"/>
    </row>
    <row r="252" spans="3:4" x14ac:dyDescent="0.2">
      <c r="C252"/>
      <c r="D252"/>
    </row>
    <row r="253" spans="3:4" x14ac:dyDescent="0.2">
      <c r="C253"/>
      <c r="D253"/>
    </row>
    <row r="254" spans="3:4" x14ac:dyDescent="0.2">
      <c r="C254"/>
      <c r="D254"/>
    </row>
    <row r="255" spans="3:4" x14ac:dyDescent="0.2">
      <c r="C255"/>
      <c r="D255"/>
    </row>
    <row r="256" spans="3:4" x14ac:dyDescent="0.2">
      <c r="C256"/>
      <c r="D256"/>
    </row>
    <row r="257" spans="3:4" x14ac:dyDescent="0.2">
      <c r="C257"/>
      <c r="D257"/>
    </row>
    <row r="258" spans="3:4" x14ac:dyDescent="0.2">
      <c r="C258"/>
      <c r="D258"/>
    </row>
    <row r="259" spans="3:4" x14ac:dyDescent="0.2">
      <c r="C259"/>
      <c r="D259"/>
    </row>
    <row r="260" spans="3:4" x14ac:dyDescent="0.2">
      <c r="C260"/>
      <c r="D260"/>
    </row>
    <row r="261" spans="3:4" x14ac:dyDescent="0.2">
      <c r="C261"/>
      <c r="D261"/>
    </row>
    <row r="262" spans="3:4" x14ac:dyDescent="0.2">
      <c r="C262"/>
      <c r="D262"/>
    </row>
    <row r="263" spans="3:4" x14ac:dyDescent="0.2">
      <c r="C263"/>
      <c r="D263"/>
    </row>
    <row r="264" spans="3:4" x14ac:dyDescent="0.2">
      <c r="C264"/>
      <c r="D264"/>
    </row>
    <row r="265" spans="3:4" x14ac:dyDescent="0.2">
      <c r="C265"/>
      <c r="D265"/>
    </row>
    <row r="266" spans="3:4" x14ac:dyDescent="0.2">
      <c r="C266"/>
      <c r="D266"/>
    </row>
    <row r="267" spans="3:4" x14ac:dyDescent="0.2">
      <c r="C267"/>
      <c r="D267"/>
    </row>
    <row r="268" spans="3:4" x14ac:dyDescent="0.2">
      <c r="C268"/>
      <c r="D268"/>
    </row>
    <row r="269" spans="3:4" x14ac:dyDescent="0.2">
      <c r="C269"/>
      <c r="D269"/>
    </row>
    <row r="270" spans="3:4" x14ac:dyDescent="0.2">
      <c r="C270"/>
      <c r="D270"/>
    </row>
    <row r="271" spans="3:4" x14ac:dyDescent="0.2">
      <c r="C271"/>
      <c r="D271"/>
    </row>
    <row r="272" spans="3:4" x14ac:dyDescent="0.2">
      <c r="C272"/>
      <c r="D272"/>
    </row>
    <row r="273" spans="3:4" x14ac:dyDescent="0.2">
      <c r="C273"/>
      <c r="D273"/>
    </row>
    <row r="274" spans="3:4" x14ac:dyDescent="0.2">
      <c r="C274"/>
      <c r="D274"/>
    </row>
    <row r="275" spans="3:4" x14ac:dyDescent="0.2">
      <c r="C275"/>
      <c r="D275"/>
    </row>
    <row r="276" spans="3:4" x14ac:dyDescent="0.2">
      <c r="C276"/>
      <c r="D276"/>
    </row>
    <row r="277" spans="3:4" x14ac:dyDescent="0.2">
      <c r="C277"/>
      <c r="D277"/>
    </row>
    <row r="278" spans="3:4" x14ac:dyDescent="0.2">
      <c r="C278"/>
      <c r="D278"/>
    </row>
    <row r="279" spans="3:4" x14ac:dyDescent="0.2">
      <c r="C279"/>
      <c r="D279"/>
    </row>
    <row r="280" spans="3:4" x14ac:dyDescent="0.2">
      <c r="C280"/>
      <c r="D280"/>
    </row>
    <row r="281" spans="3:4" x14ac:dyDescent="0.2">
      <c r="C281"/>
      <c r="D281"/>
    </row>
    <row r="282" spans="3:4" x14ac:dyDescent="0.2">
      <c r="C282"/>
      <c r="D282"/>
    </row>
    <row r="283" spans="3:4" x14ac:dyDescent="0.2">
      <c r="C283"/>
      <c r="D283"/>
    </row>
    <row r="284" spans="3:4" x14ac:dyDescent="0.2">
      <c r="C284"/>
      <c r="D284"/>
    </row>
    <row r="285" spans="3:4" x14ac:dyDescent="0.2">
      <c r="C285"/>
      <c r="D285"/>
    </row>
    <row r="286" spans="3:4" x14ac:dyDescent="0.2">
      <c r="C286"/>
      <c r="D286"/>
    </row>
    <row r="287" spans="3:4" x14ac:dyDescent="0.2">
      <c r="C287"/>
      <c r="D287"/>
    </row>
    <row r="288" spans="3:4" x14ac:dyDescent="0.2">
      <c r="C288"/>
      <c r="D288"/>
    </row>
    <row r="289" spans="3:14" x14ac:dyDescent="0.2">
      <c r="C289"/>
      <c r="D289"/>
    </row>
    <row r="290" spans="3:14" x14ac:dyDescent="0.2">
      <c r="C290"/>
      <c r="D290"/>
    </row>
    <row r="291" spans="3:14" x14ac:dyDescent="0.2">
      <c r="C291"/>
      <c r="D291"/>
    </row>
    <row r="292" spans="3:14" x14ac:dyDescent="0.2">
      <c r="C292"/>
      <c r="D292"/>
    </row>
    <row r="293" spans="3:14" x14ac:dyDescent="0.2">
      <c r="D293" s="298"/>
      <c r="E293" s="301"/>
    </row>
    <row r="294" spans="3:14" x14ac:dyDescent="0.2">
      <c r="D294" s="266"/>
      <c r="E294" s="301"/>
      <c r="F294" s="193"/>
    </row>
    <row r="295" spans="3:14" x14ac:dyDescent="0.2">
      <c r="C295" s="230"/>
      <c r="D295" s="266"/>
      <c r="E295" s="301"/>
      <c r="G295" s="193"/>
    </row>
    <row r="296" spans="3:14" x14ac:dyDescent="0.2">
      <c r="D296" s="266"/>
      <c r="E296" s="301"/>
    </row>
    <row r="297" spans="3:14" x14ac:dyDescent="0.2">
      <c r="D297" s="266"/>
      <c r="E297" s="301"/>
      <c r="H297" s="193"/>
    </row>
    <row r="298" spans="3:14" x14ac:dyDescent="0.2">
      <c r="D298" s="298"/>
      <c r="E298" s="301"/>
      <c r="I298" s="193"/>
    </row>
    <row r="299" spans="3:14" x14ac:dyDescent="0.2">
      <c r="D299" s="298"/>
      <c r="F299" s="193"/>
    </row>
    <row r="300" spans="3:14" x14ac:dyDescent="0.2">
      <c r="J300" s="193"/>
      <c r="L300" s="300"/>
      <c r="N300" s="300"/>
    </row>
  </sheetData>
  <mergeCells count="1">
    <mergeCell ref="L54:O54"/>
  </mergeCells>
  <phoneticPr fontId="13" type="noConversion"/>
  <pageMargins left="0.7" right="0.7" top="0.75" bottom="0.75" header="0.3" footer="0.3"/>
  <pageSetup scale="80" orientation="landscape" r:id="rId1"/>
  <headerFooter>
    <oddFooter>&amp;F</oddFooter>
  </headerFooter>
  <ignoredErrors>
    <ignoredError sqref="F83 G8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Assumptions</vt:lpstr>
      <vt:lpstr>Subsidy Analysis</vt:lpstr>
      <vt:lpstr>Development Analysis</vt:lpstr>
      <vt:lpstr>Recap</vt:lpstr>
      <vt:lpstr>Assumptions!Print_Area</vt:lpstr>
      <vt:lpstr>Recap!Print_Area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P Wathen</dc:creator>
  <cp:lastModifiedBy>Charles P Wathen</cp:lastModifiedBy>
  <cp:lastPrinted>2012-11-29T01:20:50Z</cp:lastPrinted>
  <dcterms:created xsi:type="dcterms:W3CDTF">2005-06-01T20:32:25Z</dcterms:created>
  <dcterms:modified xsi:type="dcterms:W3CDTF">2012-11-29T05:07:49Z</dcterms:modified>
</cp:coreProperties>
</file>